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codeName="ThisWorkbook" defaultThemeVersion="124226"/>
  <mc:AlternateContent xmlns:mc="http://schemas.openxmlformats.org/markup-compatibility/2006">
    <mc:Choice Requires="x15">
      <x15ac:absPath xmlns:x15ac="http://schemas.microsoft.com/office/spreadsheetml/2010/11/ac" url="https://d.docs.live.net/97459d10b29dbd56/Documents/"/>
    </mc:Choice>
  </mc:AlternateContent>
  <xr:revisionPtr revIDLastSave="7" documentId="8_{CED74C81-E39E-4701-A251-7CABAD0F038E}" xr6:coauthVersionLast="47" xr6:coauthVersionMax="47" xr10:uidLastSave="{4D5013CF-8E3C-478F-8452-B2C7D8AAE0C7}"/>
  <workbookProtection workbookAlgorithmName="SHA-512" workbookHashValue="BDWPbQbUwyo9zndVJ8TQ+Xivly2rmyuwbfzLBW8CBH8dsBf6fUNIgImoYsPlnHqSFEQ9q2b21oPBouNzwLA+gw==" workbookSaltValue="WlSl3qIF1hBUWCMqyMT1Uw==" workbookSpinCount="100000" lockStructure="1"/>
  <bookViews>
    <workbookView xWindow="7110" yWindow="885" windowWidth="18465" windowHeight="12765" tabRatio="776" xr2:uid="{00000000-000D-0000-FFFF-FFFF00000000}"/>
  </bookViews>
  <sheets>
    <sheet name="Overview" sheetId="14" r:id="rId1"/>
    <sheet name="Salinity Calculations" sheetId="12" r:id="rId2"/>
    <sheet name="Water Medication Calculations" sheetId="11" r:id="rId3"/>
    <sheet name="Length weight calculator" sheetId="8" r:id="rId4"/>
    <sheet name="Medicated Food Calculator" sheetId="13" r:id="rId5"/>
    <sheet name="Sheet2" sheetId="17" state="hidden" r:id="rId6"/>
    <sheet name="Sheet1" sheetId="16" state="hidden" r:id="rId7"/>
    <sheet name="L-W-Table" sheetId="9" state="hidden" r:id="rId8"/>
    <sheet name="Salinity Table" sheetId="15" state="hidden" r:id="rId9"/>
  </sheets>
  <definedNames>
    <definedName name="_xlnm._FilterDatabase" localSheetId="7" hidden="1">'L-W-Table'!$K$3</definedName>
    <definedName name="CommonName">'L-W-Table'!$E$2:$E$36</definedName>
    <definedName name="_xlnm.Extract" localSheetId="7">'L-W-Table'!$B$43</definedName>
    <definedName name="FoodIndexTable">'Medicated Food Calculator'!$B$44:$B$54</definedName>
    <definedName name="FoodNameTable">'Medicated Food Calculator'!$C$44:$C$54</definedName>
    <definedName name="FoodTable">'Medicated Food Calculator'!$B$43:$I$54</definedName>
    <definedName name="Group">'L-W-Table'!$B$2:$B$36</definedName>
    <definedName name="GroupUnique">'L-W-Table'!$B$43:$B$54</definedName>
    <definedName name="LWCT">'L-W-Table'!$A$1:$I$39</definedName>
    <definedName name="LWCTTable">Table1[]</definedName>
    <definedName name="LWRelationshipList" localSheetId="3">'Length weight calculator'!#REF!</definedName>
    <definedName name="_xlnm.Print_Area" localSheetId="7">Table1[#All]</definedName>
    <definedName name="_xlnm.Print_Area" localSheetId="4">'Medicated Food Calculator'!$A$2:$V$75</definedName>
    <definedName name="_xlnm.Print_Area" localSheetId="1">'Salinity Calculations'!$B$2:$N$53</definedName>
    <definedName name="report1">'Salinity Calculations'!$B$2:$N$53</definedName>
    <definedName name="SG_TEMP_SAL">'Salinity Table'!$B$7:$X$69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15" l="1"/>
  <c r="B31" i="15"/>
  <c r="B32" i="15" s="1"/>
  <c r="B33" i="15" s="1"/>
  <c r="B34" i="15" s="1"/>
  <c r="B35" i="15" s="1"/>
  <c r="B36" i="15" s="1"/>
  <c r="B37" i="15" s="1"/>
  <c r="B38" i="15" s="1"/>
  <c r="B39" i="15" s="1"/>
  <c r="B40" i="15" s="1"/>
  <c r="B41" i="15" s="1"/>
  <c r="B42" i="15" s="1"/>
  <c r="B43" i="15" s="1"/>
  <c r="B44" i="15" s="1"/>
  <c r="B45" i="15" s="1"/>
  <c r="B46" i="15" s="1"/>
  <c r="B47" i="15" s="1"/>
  <c r="B48" i="15" s="1"/>
  <c r="B49" i="15" s="1"/>
  <c r="B50" i="15" s="1"/>
  <c r="B51" i="15" s="1"/>
  <c r="B52" i="15" s="1"/>
  <c r="B53" i="15" s="1"/>
  <c r="B54" i="15" s="1"/>
  <c r="B55" i="15" s="1"/>
  <c r="B56" i="15" s="1"/>
  <c r="B57" i="15" s="1"/>
  <c r="B58" i="15" s="1"/>
  <c r="B59" i="15" s="1"/>
  <c r="B60" i="15" s="1"/>
  <c r="B61" i="15" s="1"/>
  <c r="B62" i="15" s="1"/>
  <c r="B63" i="15" s="1"/>
  <c r="B64" i="15" s="1"/>
  <c r="B65" i="15" s="1"/>
  <c r="R4" i="17"/>
  <c r="R5" i="17" s="1"/>
  <c r="R6" i="17" s="1"/>
  <c r="R7" i="17" s="1"/>
  <c r="R8" i="17" s="1"/>
  <c r="R9" i="17" s="1"/>
  <c r="R10" i="17" s="1"/>
  <c r="R11" i="17" s="1"/>
  <c r="R12" i="17" s="1"/>
  <c r="R13" i="17" s="1"/>
  <c r="R14" i="17" s="1"/>
  <c r="R15" i="17" s="1"/>
  <c r="R16" i="17" s="1"/>
  <c r="R17" i="17" s="1"/>
  <c r="R18" i="17" s="1"/>
  <c r="R19" i="17" s="1"/>
  <c r="R20" i="17" s="1"/>
  <c r="R21" i="17" s="1"/>
  <c r="R22" i="17" s="1"/>
  <c r="R23" i="17" s="1"/>
  <c r="R24" i="17" s="1"/>
  <c r="R25" i="17" s="1"/>
  <c r="R26" i="17" s="1"/>
  <c r="R27" i="17" s="1"/>
  <c r="R28" i="17" s="1"/>
  <c r="R29" i="17" s="1"/>
  <c r="R30" i="17" s="1"/>
  <c r="R31" i="17" s="1"/>
  <c r="R32" i="17" s="1"/>
  <c r="R33" i="17" s="1"/>
  <c r="R34" i="17" s="1"/>
  <c r="R35" i="17" s="1"/>
  <c r="R36" i="17" s="1"/>
  <c r="R37" i="17" s="1"/>
  <c r="R38" i="17" s="1"/>
  <c r="J42" i="12"/>
  <c r="F18" i="12"/>
  <c r="U3" i="15"/>
  <c r="Q4" i="15"/>
  <c r="R5" i="15" s="1"/>
  <c r="X3" i="15"/>
  <c r="X6" i="15"/>
  <c r="W6" i="15"/>
  <c r="V6" i="15"/>
  <c r="U6" i="15"/>
  <c r="T6" i="15"/>
  <c r="S6" i="15"/>
  <c r="R6" i="15"/>
  <c r="Q6" i="15"/>
  <c r="P6" i="15"/>
  <c r="O6" i="15"/>
  <c r="N6" i="15"/>
  <c r="M6" i="15"/>
  <c r="L6" i="15"/>
  <c r="J6" i="15"/>
  <c r="I6" i="15"/>
  <c r="H6" i="15"/>
  <c r="G6" i="15"/>
  <c r="F6" i="15"/>
  <c r="E6" i="15"/>
  <c r="D6" i="15"/>
  <c r="C6" i="15"/>
  <c r="N75" i="12"/>
  <c r="M74" i="12"/>
  <c r="M71" i="12"/>
  <c r="M76" i="12" s="1"/>
  <c r="K5" i="15" l="1"/>
  <c r="D5" i="15"/>
  <c r="V5" i="15"/>
  <c r="W5" i="15"/>
  <c r="C5" i="15"/>
  <c r="G5" i="15"/>
  <c r="E5" i="15"/>
  <c r="X5" i="15"/>
  <c r="L5" i="15"/>
  <c r="O5" i="15"/>
  <c r="U5" i="15"/>
  <c r="P5" i="15"/>
  <c r="M5" i="15"/>
  <c r="N5" i="15"/>
  <c r="Q3" i="15"/>
  <c r="V3" i="15" s="1"/>
  <c r="V4" i="15" s="1"/>
  <c r="H4" i="12" s="1"/>
  <c r="F5" i="15"/>
  <c r="S5" i="15"/>
  <c r="H5" i="15"/>
  <c r="T5" i="15"/>
  <c r="I5" i="15"/>
  <c r="Q5" i="15"/>
  <c r="J5" i="15"/>
  <c r="N76" i="12"/>
  <c r="N77" i="12" s="1"/>
  <c r="N71" i="12"/>
  <c r="G5" i="11"/>
  <c r="C57" i="12"/>
  <c r="E6" i="13"/>
  <c r="E7" i="13"/>
  <c r="K8" i="13"/>
  <c r="E9" i="13"/>
  <c r="K9" i="13"/>
  <c r="E10" i="13"/>
  <c r="E11" i="13"/>
  <c r="G14" i="13"/>
  <c r="I14" i="13"/>
  <c r="K14" i="13"/>
  <c r="L14" i="13"/>
  <c r="N14" i="13"/>
  <c r="O14" i="13"/>
  <c r="G15" i="13"/>
  <c r="I15" i="13"/>
  <c r="K15" i="13"/>
  <c r="L15" i="13"/>
  <c r="N15" i="13"/>
  <c r="O15" i="13"/>
  <c r="G16" i="13"/>
  <c r="I16" i="13"/>
  <c r="K16" i="13"/>
  <c r="L16" i="13"/>
  <c r="N16" i="13"/>
  <c r="O16" i="13"/>
  <c r="G17" i="13"/>
  <c r="I17" i="13"/>
  <c r="K17" i="13"/>
  <c r="L17" i="13"/>
  <c r="N17" i="13"/>
  <c r="O17" i="13"/>
  <c r="G18" i="13"/>
  <c r="I18" i="13"/>
  <c r="K18" i="13"/>
  <c r="L18" i="13"/>
  <c r="N18" i="13"/>
  <c r="O18" i="13"/>
  <c r="G19" i="13"/>
  <c r="I19" i="13"/>
  <c r="K19" i="13"/>
  <c r="L19" i="13"/>
  <c r="N19" i="13"/>
  <c r="O19" i="13"/>
  <c r="G20" i="13"/>
  <c r="I20" i="13"/>
  <c r="K20" i="13"/>
  <c r="L20" i="13"/>
  <c r="N20" i="13"/>
  <c r="O20" i="13"/>
  <c r="G21" i="13"/>
  <c r="I21" i="13"/>
  <c r="K21" i="13"/>
  <c r="L21" i="13"/>
  <c r="N21" i="13"/>
  <c r="O21" i="13"/>
  <c r="G22" i="13"/>
  <c r="I22" i="13"/>
  <c r="K22" i="13"/>
  <c r="L22" i="13"/>
  <c r="N22" i="13"/>
  <c r="O22" i="13"/>
  <c r="G24" i="13"/>
  <c r="G25" i="13"/>
  <c r="G28" i="13"/>
  <c r="G29" i="13"/>
  <c r="G30" i="13"/>
  <c r="G31" i="13"/>
  <c r="G32" i="13"/>
  <c r="G33" i="13"/>
  <c r="G34" i="13"/>
  <c r="I34" i="13"/>
  <c r="G35" i="13"/>
  <c r="I35" i="13"/>
  <c r="G36" i="13"/>
  <c r="I36" i="13"/>
  <c r="G45" i="13"/>
  <c r="I45" i="13" s="1"/>
  <c r="G46" i="13"/>
  <c r="I46" i="13"/>
  <c r="G47" i="13"/>
  <c r="I47" i="13" s="1"/>
  <c r="G48" i="13"/>
  <c r="I48" i="13" s="1"/>
  <c r="G49" i="13"/>
  <c r="I49" i="13" s="1"/>
  <c r="G50" i="13"/>
  <c r="I50" i="13" s="1"/>
  <c r="G51" i="13"/>
  <c r="I51" i="13" s="1"/>
  <c r="G52" i="13"/>
  <c r="I52" i="13" s="1"/>
  <c r="S3" i="15" l="1"/>
  <c r="H5" i="12" s="1"/>
  <c r="M75" i="12"/>
  <c r="M77" i="12" s="1"/>
  <c r="H31" i="13"/>
  <c r="I31" i="13" s="1"/>
  <c r="H29" i="13"/>
  <c r="I29" i="13" s="1"/>
  <c r="P22" i="13"/>
  <c r="Q22" i="13" s="1"/>
  <c r="P14" i="13"/>
  <c r="Q14" i="13" s="1"/>
  <c r="P19" i="13"/>
  <c r="Q19" i="13" s="1"/>
  <c r="M18" i="13"/>
  <c r="L10" i="13"/>
  <c r="H28" i="13"/>
  <c r="I28" i="13" s="1"/>
  <c r="M17" i="13"/>
  <c r="K53" i="13"/>
  <c r="H33" i="13"/>
  <c r="I33" i="13" s="1"/>
  <c r="P21" i="13"/>
  <c r="Q21" i="13" s="1"/>
  <c r="M16" i="13"/>
  <c r="M21" i="13"/>
  <c r="P20" i="13"/>
  <c r="Q20" i="13" s="1"/>
  <c r="M19" i="13"/>
  <c r="P18" i="13"/>
  <c r="Q18" i="13" s="1"/>
  <c r="L11" i="13"/>
  <c r="K47" i="13"/>
  <c r="M22" i="13"/>
  <c r="M14" i="13"/>
  <c r="H24" i="13"/>
  <c r="I24" i="13" s="1"/>
  <c r="K51" i="13"/>
  <c r="M20" i="13"/>
  <c r="P16" i="13"/>
  <c r="Q16" i="13" s="1"/>
  <c r="M15" i="13"/>
  <c r="H32" i="13"/>
  <c r="I32" i="13" s="1"/>
  <c r="H25" i="13"/>
  <c r="I25" i="13" s="1"/>
  <c r="P17" i="13"/>
  <c r="Q17" i="13" s="1"/>
  <c r="P15" i="13"/>
  <c r="Q15" i="13" s="1"/>
  <c r="K52" i="13"/>
  <c r="K48" i="13"/>
  <c r="H30" i="13"/>
  <c r="I30" i="13" s="1"/>
  <c r="K49" i="13"/>
  <c r="K45" i="13"/>
  <c r="K54" i="13"/>
  <c r="K50" i="13"/>
  <c r="K46" i="13"/>
  <c r="E64" i="12"/>
  <c r="D63" i="12"/>
  <c r="H52" i="12"/>
  <c r="F29" i="12"/>
  <c r="G13" i="11"/>
  <c r="G19" i="11" s="1"/>
  <c r="G4" i="11"/>
  <c r="G12" i="11" s="1"/>
  <c r="G18" i="11" s="1"/>
  <c r="L12" i="13" l="1"/>
  <c r="M11" i="13" s="1"/>
  <c r="F20" i="12"/>
  <c r="F36" i="12" s="1"/>
  <c r="F50" i="12" s="1"/>
  <c r="H29" i="12"/>
  <c r="K40" i="12"/>
  <c r="K47" i="12"/>
  <c r="H18" i="12"/>
  <c r="K32" i="12"/>
  <c r="K50" i="12"/>
  <c r="H14" i="12"/>
  <c r="H25" i="12"/>
  <c r="K36" i="12"/>
  <c r="K45" i="12"/>
  <c r="K34" i="12"/>
  <c r="K42" i="12"/>
  <c r="K52" i="12"/>
  <c r="H16" i="12"/>
  <c r="H20" i="12"/>
  <c r="H27" i="12"/>
  <c r="H32" i="12"/>
  <c r="H34" i="12"/>
  <c r="H36" i="12"/>
  <c r="H40" i="12"/>
  <c r="H42" i="12"/>
  <c r="H45" i="12"/>
  <c r="H47" i="12"/>
  <c r="H50" i="12"/>
  <c r="C9" i="11"/>
  <c r="C16" i="11" s="1"/>
  <c r="C20" i="11" s="1"/>
  <c r="F25" i="12" l="1"/>
  <c r="F27" i="12" s="1"/>
  <c r="J32" i="12"/>
  <c r="J40" i="12" s="1"/>
  <c r="F42" i="12"/>
  <c r="M10" i="13"/>
  <c r="F34" i="12"/>
  <c r="F45" i="12" s="1"/>
  <c r="F52" i="12"/>
  <c r="J52" i="12" s="1"/>
  <c r="F32" i="12"/>
  <c r="F40" i="12" s="1"/>
  <c r="F47" i="12"/>
  <c r="J47" i="12" s="1"/>
  <c r="J36" i="12"/>
  <c r="J50" i="12" s="1"/>
  <c r="J34" i="12" l="1"/>
  <c r="J45" i="12" s="1"/>
  <c r="O16" i="8"/>
  <c r="O17" i="8"/>
  <c r="O18" i="8"/>
  <c r="O19" i="8"/>
  <c r="O20" i="8"/>
  <c r="O21" i="8"/>
  <c r="O22" i="8"/>
  <c r="O23" i="8"/>
  <c r="O24" i="8"/>
  <c r="O25" i="8"/>
  <c r="O26" i="8"/>
  <c r="O27" i="8"/>
  <c r="O28" i="8"/>
  <c r="O29" i="8"/>
  <c r="O30" i="8"/>
  <c r="O31" i="8"/>
  <c r="O32" i="8"/>
  <c r="O33" i="8"/>
  <c r="I16" i="8"/>
  <c r="D36" i="9"/>
  <c r="E21" i="8" s="1"/>
  <c r="C36" i="9"/>
  <c r="D32" i="8" s="1"/>
  <c r="R34" i="8"/>
  <c r="J33" i="8"/>
  <c r="I33" i="8"/>
  <c r="H33" i="8"/>
  <c r="J32" i="8"/>
  <c r="I32" i="8"/>
  <c r="H32" i="8"/>
  <c r="J31" i="8"/>
  <c r="I31" i="8"/>
  <c r="H31" i="8"/>
  <c r="J30" i="8"/>
  <c r="I30" i="8"/>
  <c r="H30" i="8"/>
  <c r="J29" i="8"/>
  <c r="I29" i="8"/>
  <c r="H29" i="8"/>
  <c r="J28" i="8"/>
  <c r="I28" i="8"/>
  <c r="H28" i="8"/>
  <c r="J27" i="8"/>
  <c r="I27" i="8"/>
  <c r="H27" i="8"/>
  <c r="J26" i="8"/>
  <c r="I26" i="8"/>
  <c r="H26" i="8"/>
  <c r="J25" i="8"/>
  <c r="I25" i="8"/>
  <c r="H25" i="8"/>
  <c r="J24" i="8"/>
  <c r="I24" i="8"/>
  <c r="H24" i="8"/>
  <c r="J23" i="8"/>
  <c r="I23" i="8"/>
  <c r="H23" i="8"/>
  <c r="J22" i="8"/>
  <c r="I22" i="8"/>
  <c r="H22" i="8"/>
  <c r="J21" i="8"/>
  <c r="I21" i="8"/>
  <c r="H21" i="8"/>
  <c r="J20" i="8"/>
  <c r="I20" i="8"/>
  <c r="H20" i="8"/>
  <c r="J19" i="8"/>
  <c r="I19" i="8"/>
  <c r="H19" i="8"/>
  <c r="J18" i="8"/>
  <c r="I18" i="8"/>
  <c r="H18" i="8"/>
  <c r="J17" i="8"/>
  <c r="I17" i="8"/>
  <c r="H17" i="8"/>
  <c r="H16" i="8"/>
  <c r="D20" i="8" l="1"/>
  <c r="E31" i="8"/>
  <c r="D24" i="8"/>
  <c r="D18" i="8"/>
  <c r="D26" i="8"/>
  <c r="D22" i="8"/>
  <c r="E22" i="8"/>
  <c r="E23" i="8"/>
  <c r="E32" i="8"/>
  <c r="E33" i="8"/>
  <c r="E17" i="8"/>
  <c r="E24" i="8"/>
  <c r="E25" i="8"/>
  <c r="E18" i="8"/>
  <c r="E19" i="8"/>
  <c r="E26" i="8"/>
  <c r="E27" i="8"/>
  <c r="E28" i="8"/>
  <c r="E29" i="8"/>
  <c r="E30" i="8"/>
  <c r="E20" i="8"/>
  <c r="P17" i="8"/>
  <c r="S17" i="8" s="1"/>
  <c r="P25" i="8"/>
  <c r="S25" i="8" s="1"/>
  <c r="P22" i="8"/>
  <c r="S22" i="8" s="1"/>
  <c r="P20" i="8"/>
  <c r="S20" i="8" s="1"/>
  <c r="P21" i="8"/>
  <c r="S21" i="8" s="1"/>
  <c r="P18" i="8"/>
  <c r="S18" i="8" s="1"/>
  <c r="P19" i="8"/>
  <c r="S19" i="8" s="1"/>
  <c r="P24" i="8"/>
  <c r="S24" i="8" s="1"/>
  <c r="P26" i="8"/>
  <c r="S26" i="8" s="1"/>
  <c r="P27" i="8"/>
  <c r="S27" i="8" s="1"/>
  <c r="P28" i="8"/>
  <c r="S28" i="8" s="1"/>
  <c r="P29" i="8"/>
  <c r="S29" i="8" s="1"/>
  <c r="P30" i="8"/>
  <c r="S30" i="8" s="1"/>
  <c r="P31" i="8"/>
  <c r="S31" i="8" s="1"/>
  <c r="P32" i="8"/>
  <c r="S32" i="8" s="1"/>
  <c r="P33" i="8"/>
  <c r="S33" i="8" s="1"/>
  <c r="P23" i="8"/>
  <c r="S23" i="8" s="1"/>
  <c r="E16" i="8"/>
  <c r="J16" i="8"/>
  <c r="D17" i="8"/>
  <c r="D19" i="8"/>
  <c r="D23" i="8"/>
  <c r="D25" i="8"/>
  <c r="D27" i="8"/>
  <c r="D29" i="8"/>
  <c r="D16" i="8"/>
  <c r="D21" i="8"/>
  <c r="D31" i="8"/>
  <c r="D33" i="8"/>
  <c r="D28" i="8"/>
  <c r="D30" i="8"/>
  <c r="P16" i="8" l="1"/>
  <c r="S16" i="8" s="1"/>
  <c r="S34" i="8" s="1"/>
</calcChain>
</file>

<file path=xl/sharedStrings.xml><?xml version="1.0" encoding="utf-8"?>
<sst xmlns="http://schemas.openxmlformats.org/spreadsheetml/2006/main" count="600" uniqueCount="358">
  <si>
    <t>#</t>
  </si>
  <si>
    <t>Genus</t>
  </si>
  <si>
    <t>Common</t>
  </si>
  <si>
    <t>L - inches</t>
  </si>
  <si>
    <t>L-Centimeters</t>
  </si>
  <si>
    <t>Species</t>
  </si>
  <si>
    <t>a</t>
  </si>
  <si>
    <t>b</t>
  </si>
  <si>
    <t>Total Fish Weight</t>
  </si>
  <si>
    <t>Fish Name</t>
  </si>
  <si>
    <t>Naso Tang</t>
  </si>
  <si>
    <t>Yellow Tang</t>
  </si>
  <si>
    <t>Powder Blue Tang</t>
  </si>
  <si>
    <t>Convict Tang</t>
  </si>
  <si>
    <t>Coral Beauty Angel</t>
  </si>
  <si>
    <t>Emperor Angel</t>
  </si>
  <si>
    <t>Lined Butterfly</t>
  </si>
  <si>
    <t>Threadfin Butterfly</t>
  </si>
  <si>
    <t>Chevron Butterfly</t>
  </si>
  <si>
    <t>Hooded Butterfly</t>
  </si>
  <si>
    <t>Lionfish</t>
  </si>
  <si>
    <t>Volitans</t>
  </si>
  <si>
    <t>pomacanthus</t>
  </si>
  <si>
    <t>imperator</t>
  </si>
  <si>
    <t>rhinecanthus</t>
  </si>
  <si>
    <t>verrucosus</t>
  </si>
  <si>
    <t>chaetodon</t>
  </si>
  <si>
    <t>Zebrasoma</t>
  </si>
  <si>
    <t>Acanthurus</t>
  </si>
  <si>
    <t>Sample size</t>
  </si>
  <si>
    <t>shadowfin Soldierfish</t>
  </si>
  <si>
    <t>Blotcheye soldierfish</t>
  </si>
  <si>
    <t>Pterois</t>
  </si>
  <si>
    <t>kauderni</t>
  </si>
  <si>
    <t xml:space="preserve">Myripristis </t>
  </si>
  <si>
    <t>berndti</t>
  </si>
  <si>
    <t>adusta</t>
  </si>
  <si>
    <t>niger</t>
  </si>
  <si>
    <t>flavescens</t>
  </si>
  <si>
    <t>Balistapus</t>
  </si>
  <si>
    <t>undulatus</t>
  </si>
  <si>
    <t>Undulated Trigger</t>
  </si>
  <si>
    <t>Blackbelly Trigger</t>
  </si>
  <si>
    <t>Odonus</t>
  </si>
  <si>
    <t>Niger/Redtooth Trigger</t>
  </si>
  <si>
    <t>Porcupine</t>
  </si>
  <si>
    <t>spotted porcupine</t>
  </si>
  <si>
    <t>hystrix</t>
  </si>
  <si>
    <t>Diodon</t>
  </si>
  <si>
    <t>TL</t>
  </si>
  <si>
    <t>SL</t>
  </si>
  <si>
    <t>Pterapogon</t>
  </si>
  <si>
    <t>Banggai Cardinal</t>
  </si>
  <si>
    <t>Amphiprion</t>
  </si>
  <si>
    <t>menalopus</t>
  </si>
  <si>
    <t>Cinnamon Clownfish</t>
  </si>
  <si>
    <t>FL</t>
  </si>
  <si>
    <t>ocellaris</t>
  </si>
  <si>
    <t>Ocellaris Clownfish</t>
  </si>
  <si>
    <t>Wrasse</t>
  </si>
  <si>
    <t>Thalassoma</t>
  </si>
  <si>
    <t>lutescens</t>
  </si>
  <si>
    <t>Sunset/Yellow-Brown wrasse</t>
  </si>
  <si>
    <t>licasanum</t>
  </si>
  <si>
    <t>Cortez Rainbow Wrasse</t>
  </si>
  <si>
    <t>lunare</t>
  </si>
  <si>
    <t>Moon wrasse</t>
  </si>
  <si>
    <t>hardwicke</t>
  </si>
  <si>
    <t>Six bar wrasse</t>
  </si>
  <si>
    <t>Abudefduf</t>
  </si>
  <si>
    <t>saxatilis</t>
  </si>
  <si>
    <t>Sergeant Major</t>
  </si>
  <si>
    <t>Pomacentrus</t>
  </si>
  <si>
    <t>pavo</t>
  </si>
  <si>
    <t>Sapphire damsel</t>
  </si>
  <si>
    <t>coelestis</t>
  </si>
  <si>
    <t>Blue and Gold/Neon damsel</t>
  </si>
  <si>
    <t>rectangulus</t>
  </si>
  <si>
    <t>Rectangular/Humu Humu trigger fish</t>
  </si>
  <si>
    <t>Chelmon</t>
  </si>
  <si>
    <t>rostratus</t>
  </si>
  <si>
    <t>Copperband Butterfly</t>
  </si>
  <si>
    <t>trifascialis</t>
  </si>
  <si>
    <t>larvatus</t>
  </si>
  <si>
    <t>auriga</t>
  </si>
  <si>
    <t>speculum</t>
  </si>
  <si>
    <t>Mirror Butterfly</t>
  </si>
  <si>
    <t>lineolatus</t>
  </si>
  <si>
    <t>leucosteron</t>
  </si>
  <si>
    <t>Naso</t>
  </si>
  <si>
    <t>lituratus</t>
  </si>
  <si>
    <t>lineatus</t>
  </si>
  <si>
    <t>triostegus</t>
  </si>
  <si>
    <t>Centropyge</t>
  </si>
  <si>
    <t>bispinosa</t>
  </si>
  <si>
    <t>Abalistes</t>
  </si>
  <si>
    <t>stellaris</t>
  </si>
  <si>
    <t>Starry trigger</t>
  </si>
  <si>
    <t>Volitans Lionfish</t>
  </si>
  <si>
    <t>Length Estimate (enter 1)</t>
  </si>
  <si>
    <t>W (g)</t>
  </si>
  <si>
    <t>Total W(g)</t>
  </si>
  <si>
    <t>Tail</t>
  </si>
  <si>
    <t>FishID</t>
  </si>
  <si>
    <t>Sample</t>
  </si>
  <si>
    <t>tl</t>
  </si>
  <si>
    <t>Tang</t>
  </si>
  <si>
    <t>Angel</t>
  </si>
  <si>
    <t>Butterfly</t>
  </si>
  <si>
    <t>Trigger</t>
  </si>
  <si>
    <t>SoldierFish</t>
  </si>
  <si>
    <t>Damsel</t>
  </si>
  <si>
    <t>Cardinal</t>
  </si>
  <si>
    <t>ClownFish</t>
  </si>
  <si>
    <t>GroupUnique</t>
  </si>
  <si>
    <t>Vala</t>
  </si>
  <si>
    <t>Valb</t>
  </si>
  <si>
    <t>Family</t>
  </si>
  <si>
    <t>Select Family</t>
  </si>
  <si>
    <t>Select Common Name</t>
  </si>
  <si>
    <t>L - cm</t>
  </si>
  <si>
    <r>
      <t xml:space="preserve">Formula : </t>
    </r>
    <r>
      <rPr>
        <b/>
        <i/>
        <sz val="11"/>
        <color theme="1"/>
        <rFont val="Calibri"/>
        <family val="2"/>
        <scheme val="minor"/>
      </rPr>
      <t>W = a * L^b</t>
    </r>
  </si>
  <si>
    <t>Calculator Version: beta</t>
  </si>
  <si>
    <t>veliferum</t>
  </si>
  <si>
    <t>Sailfin Tang</t>
  </si>
  <si>
    <t>unicornis</t>
  </si>
  <si>
    <t>Unicorn Tang</t>
  </si>
  <si>
    <t>Clown Tang</t>
  </si>
  <si>
    <t>©David Scarborough, 2021</t>
  </si>
  <si>
    <t>Total #  Fish/ Total Weight</t>
  </si>
  <si>
    <t xml:space="preserve">https://www.fishbase.us/search.php </t>
  </si>
  <si>
    <t>threebuoys (username on R2R)</t>
  </si>
  <si>
    <r>
      <t xml:space="preserve">Fish Weight Calculator </t>
    </r>
    <r>
      <rPr>
        <sz val="12"/>
        <color theme="1"/>
        <rFont val="Calibri"/>
        <family val="2"/>
        <scheme val="minor"/>
      </rPr>
      <t>-3/14/2021</t>
    </r>
  </si>
  <si>
    <t>Tank Water Medication Calculations</t>
  </si>
  <si>
    <t>Medication Concentration</t>
  </si>
  <si>
    <t>%</t>
  </si>
  <si>
    <t>Desired Concentration in Tank</t>
  </si>
  <si>
    <t>ppm</t>
  </si>
  <si>
    <t>Tank Volume</t>
  </si>
  <si>
    <t>Gallons</t>
  </si>
  <si>
    <t>Amount of medication Needed</t>
  </si>
  <si>
    <t>gallon</t>
  </si>
  <si>
    <t>Liter</t>
  </si>
  <si>
    <t>To be Entered</t>
  </si>
  <si>
    <t>Calculated</t>
  </si>
  <si>
    <t>If PreciseTank Volume is Unknown</t>
  </si>
  <si>
    <t>Dose 50% of estimated total Dose
Measure Actual Concentration Achieved
Second Dose needed to Reach Target Calculated
Measure Actual Concentration</t>
  </si>
  <si>
    <t>Dose 1  (50% of Estimated Dose from  Above)</t>
  </si>
  <si>
    <t>Actual Concentration after Dose 1</t>
  </si>
  <si>
    <t>Required Dose 2</t>
  </si>
  <si>
    <t>Aquarium Salinity Management</t>
  </si>
  <si>
    <t>ppt (parts per thousand)</t>
  </si>
  <si>
    <t>Salt Differential:</t>
  </si>
  <si>
    <t>Tank Differential:</t>
  </si>
  <si>
    <t>To Reduce Salt Concentration in Tank:</t>
  </si>
  <si>
    <t>Replace</t>
  </si>
  <si>
    <t>of Tank water with RO/DI water</t>
  </si>
  <si>
    <t>Two Step Option to Reduce Concentration (Preferred):</t>
  </si>
  <si>
    <t>Replace 50% of est. Total Replacement</t>
  </si>
  <si>
    <t>Replace Additional Water to Reach Target</t>
  </si>
  <si>
    <t>To Increase Salt Concentration in Tank:</t>
  </si>
  <si>
    <t>Option 1: Mix</t>
  </si>
  <si>
    <t xml:space="preserve">of Tank water with </t>
  </si>
  <si>
    <t>of Salt and Return to Tank</t>
  </si>
  <si>
    <t>Option 2:  Replace</t>
  </si>
  <si>
    <t xml:space="preserve">of Tank Water with RO/DI water mixed with </t>
  </si>
  <si>
    <t>of Salt</t>
  </si>
  <si>
    <t>Option 3:  Replace</t>
  </si>
  <si>
    <t>Two Step Options to Increase Concentration (Preferred):</t>
  </si>
  <si>
    <t>Option 1:Mix</t>
  </si>
  <si>
    <t>First Step Qty:  Mix (appx. 50% of est.)</t>
  </si>
  <si>
    <t>Second Step:  Mix</t>
  </si>
  <si>
    <t>Option 2:Replace</t>
  </si>
  <si>
    <t>First Step Qty:  Replace (appx. 50% of est.)</t>
  </si>
  <si>
    <t>Second Step:  Replace</t>
  </si>
  <si>
    <t>Option 3:Replace</t>
  </si>
  <si>
    <t>Hidden info used by formulas</t>
  </si>
  <si>
    <t>System</t>
  </si>
  <si>
    <t>Metric</t>
  </si>
  <si>
    <t>48 /  10.16</t>
  </si>
  <si>
    <t>3lbs of salt = 4.7 cups = 9.5 gallons of sea salt</t>
  </si>
  <si>
    <t xml:space="preserve">Nutritional Values from product labels as of 3/4/2021. Grams per teaspoon determined by weighing available samples. Some sitill to be determined. </t>
  </si>
  <si>
    <t>Other (Direct Input by user)</t>
  </si>
  <si>
    <t>tbd</t>
  </si>
  <si>
    <t>Hikari Marine S Pellet</t>
  </si>
  <si>
    <t>Hikari Marine A Pellet</t>
  </si>
  <si>
    <t>Omega One Super Color Flakes</t>
  </si>
  <si>
    <t>Omega One Marine Carnivoire Formula - cubes</t>
  </si>
  <si>
    <t>Omega One Frozen Brine Shrimp - cubes</t>
  </si>
  <si>
    <t xml:space="preserve">Omega One Freeze Dried Brine Shrimp </t>
  </si>
  <si>
    <t>Omega One Marine Fish Pellets small 2mm</t>
  </si>
  <si>
    <t>New Life Spectrum Marine Fish pellets 1-1.5mm</t>
  </si>
  <si>
    <t>Choose from Drop Down Box</t>
  </si>
  <si>
    <t>Water Req'd (ml per g)</t>
  </si>
  <si>
    <t>grams of food
per
teaspoon</t>
  </si>
  <si>
    <t>Relative Nutritional Value</t>
  </si>
  <si>
    <t>Filler</t>
  </si>
  <si>
    <t>Moisture</t>
  </si>
  <si>
    <t xml:space="preserve"> Nutritional Value</t>
  </si>
  <si>
    <t>Fiber</t>
  </si>
  <si>
    <t xml:space="preserve">Fat </t>
  </si>
  <si>
    <t>Protein</t>
  </si>
  <si>
    <t>Nutrition Table
Representative Nutritional Values</t>
  </si>
  <si>
    <t>Food Index</t>
  </si>
  <si>
    <t>concentrations of sample medications per product labels as of 3/4/2021.</t>
  </si>
  <si>
    <t>enrofloxacin</t>
  </si>
  <si>
    <t>Baytril Enroquin tablets</t>
  </si>
  <si>
    <t>praziquantel</t>
  </si>
  <si>
    <t>( fixed ratio of the 2 drugs may not be appropriate)</t>
  </si>
  <si>
    <t>metronidazole</t>
  </si>
  <si>
    <t>API General Cure - packets</t>
  </si>
  <si>
    <t>Thomas Labs Fish Tapes - capsules</t>
  </si>
  <si>
    <t>oxytetracycline</t>
  </si>
  <si>
    <t>Fish Aid Terramycin Scours Tablets</t>
  </si>
  <si>
    <t>Fish Aid Metronidazole - tablet</t>
  </si>
  <si>
    <t>.75 mg per ml of liquid to bind to dry food</t>
  </si>
  <si>
    <t>n/a</t>
  </si>
  <si>
    <t>Knox Gelatin</t>
  </si>
  <si>
    <t>1 scoop per 8 grams of dry food to bind using liquid</t>
  </si>
  <si>
    <t>0.10% antibiotic</t>
  </si>
  <si>
    <t>binder + nitrofurantoin</t>
  </si>
  <si>
    <t>Seachem Focus -powder - scoop - binder + antibiotic</t>
  </si>
  <si>
    <t>kanamycin sulfate</t>
  </si>
  <si>
    <t>Seachem KanaPlex powder - scoop</t>
  </si>
  <si>
    <t>Seachem Metroplex - powder - scoop</t>
  </si>
  <si>
    <t>mg / Dose</t>
  </si>
  <si>
    <t># Measures /Dose</t>
  </si>
  <si>
    <t>Effective mg per measure</t>
  </si>
  <si>
    <t>Total mg per measure</t>
  </si>
  <si>
    <t>concentration</t>
  </si>
  <si>
    <t>generic drug</t>
  </si>
  <si>
    <t>Branded Medication</t>
  </si>
  <si>
    <t>N</t>
  </si>
  <si>
    <t>Praziquantel (Droneit)(dewormer,cestodes, Monogenean flukes)</t>
  </si>
  <si>
    <t>Fenbendazole (Panacur)(digestive system nematodes,dewormer, nematodes)</t>
  </si>
  <si>
    <t>Oxytetracycline (gram pos/neg bacteria, Columnarius, Aeromonas, Pseudomonas)</t>
  </si>
  <si>
    <t>Metronidazole (Flagyl, intestinal flagellates, anerobic bacteria)</t>
  </si>
  <si>
    <t>Magnesium Sulfate (% FOOd WT.)(Epsom Salt, gut protozoans, Hexamita, Spironucleus)</t>
  </si>
  <si>
    <t>Kanamycin (gram negative antibiotic)</t>
  </si>
  <si>
    <t>Erythromycin (gram positive antibiotic, kidney disease)</t>
  </si>
  <si>
    <t>Enrofloxacin (gram negative antibiotic, aeromnas, Vibrio)</t>
  </si>
  <si>
    <t>tsp</t>
  </si>
  <si>
    <t>Total - grams</t>
  </si>
  <si>
    <t>Water - grams</t>
  </si>
  <si>
    <t xml:space="preserve"> Food - grams</t>
  </si>
  <si>
    <t>mg</t>
  </si>
  <si>
    <t xml:space="preserve"> mg per Day</t>
  </si>
  <si>
    <t xml:space="preserve"> Enter Y or N</t>
  </si>
  <si>
    <t xml:space="preserve"> mg(med)/ Kg(Fish)</t>
  </si>
  <si>
    <t>Generic medication</t>
  </si>
  <si>
    <t xml:space="preserve">Total Medicated food for Treatment </t>
  </si>
  <si>
    <t>Total Daily Medicated Food (g)</t>
  </si>
  <si>
    <t>Total Meds Req'd for Treatment Period</t>
  </si>
  <si>
    <r>
      <t xml:space="preserve">Daily Medication Dose </t>
    </r>
    <r>
      <rPr>
        <b/>
        <sz val="18"/>
        <color rgb="FFFF0000"/>
        <rFont val="Calibri"/>
        <family val="2"/>
      </rPr>
      <t>³</t>
    </r>
  </si>
  <si>
    <t>Include in 
calculation?</t>
  </si>
  <si>
    <t>Dosage per Kg of Fish Weight</t>
  </si>
  <si>
    <t>Formulary</t>
  </si>
  <si>
    <t>Med Index</t>
  </si>
  <si>
    <t>Daily Water (g)</t>
  </si>
  <si>
    <t>(see nutrition  table below)</t>
  </si>
  <si>
    <t>Water (ml)Req'd per gram of food to make paste</t>
  </si>
  <si>
    <t>Total tsp of Medicated Food per Day</t>
  </si>
  <si>
    <t>Total tsp for Treat-ment Period</t>
  </si>
  <si>
    <t>Water
 (10 mg = 
10 ml =
 1 tsp)</t>
  </si>
  <si>
    <t>Dry Food
 (3 tsp=
1 tbs)</t>
  </si>
  <si>
    <t>Daily Food (g)</t>
  </si>
  <si>
    <r>
      <t xml:space="preserve"># Doses Daily/ </t>
    </r>
    <r>
      <rPr>
        <b/>
        <sz val="12"/>
        <color theme="5"/>
        <rFont val="Calibri"/>
        <family val="2"/>
        <scheme val="minor"/>
      </rPr>
      <t>Weekly</t>
    </r>
    <r>
      <rPr>
        <b/>
        <sz val="12"/>
        <color theme="1"/>
        <rFont val="Calibri"/>
        <family val="2"/>
        <scheme val="minor"/>
      </rPr>
      <t xml:space="preserve">/ </t>
    </r>
    <r>
      <rPr>
        <b/>
        <sz val="12"/>
        <color theme="9" tint="-0.499984740745262"/>
        <rFont val="Calibri"/>
        <family val="2"/>
        <scheme val="minor"/>
      </rPr>
      <t xml:space="preserve"> Every Other Day</t>
    </r>
  </si>
  <si>
    <t>(see nutrition table below)</t>
  </si>
  <si>
    <t>Grams of Selected Food in a Teaspoon:</t>
  </si>
  <si>
    <t>Choose Food Option:</t>
  </si>
  <si>
    <t>2 = Preserve Daily Nutrition</t>
  </si>
  <si>
    <t>1= Preserve Daily Quantity</t>
  </si>
  <si>
    <t>Mix Calculation Option:</t>
  </si>
  <si>
    <t>Total Food ,Water Quantities in Grams for Treatment Period</t>
  </si>
  <si>
    <t>Daily Food Amount used by Calculator:</t>
  </si>
  <si>
    <t>Amount Estimated by Model will be Overridden if Value is entered by User Above</t>
  </si>
  <si>
    <t>Daily Food Amount Estimated by Model:</t>
  </si>
  <si>
    <t>User may enter a different %</t>
  </si>
  <si>
    <t>OR- Daily Food  % of Fish Wt to Estimate Amount:</t>
  </si>
  <si>
    <t>If entered here will override Amount estimated by the Calculator</t>
  </si>
  <si>
    <r>
      <t>Daily Food Amount if Known (in Grams)</t>
    </r>
    <r>
      <rPr>
        <b/>
        <sz val="18"/>
        <color rgb="FFFF0000"/>
        <rFont val="Calibri"/>
        <family val="2"/>
        <scheme val="minor"/>
      </rPr>
      <t>²</t>
    </r>
  </si>
  <si>
    <t>use optional length-weight calculator if not known</t>
  </si>
  <si>
    <r>
      <t>Estimated Fish Weight (in Grams):</t>
    </r>
    <r>
      <rPr>
        <b/>
        <sz val="18"/>
        <color rgb="FFFF0000"/>
        <rFont val="Calibri"/>
        <family val="2"/>
      </rPr>
      <t>¹</t>
    </r>
  </si>
  <si>
    <t>Medicated Fish Food Mix Calculator</t>
  </si>
  <si>
    <t>Salinity</t>
  </si>
  <si>
    <t>L/W</t>
  </si>
  <si>
    <t>Water / Med</t>
  </si>
  <si>
    <t>Food / Med</t>
  </si>
  <si>
    <t>U.S.</t>
  </si>
  <si>
    <t>I refers to U.S. measurement system in this workbook)</t>
  </si>
  <si>
    <t>Return to Overview</t>
  </si>
  <si>
    <t>mL or grams</t>
  </si>
  <si>
    <t>=</t>
  </si>
  <si>
    <t>SG</t>
  </si>
  <si>
    <t>Base Salinity</t>
  </si>
  <si>
    <t>Base SG</t>
  </si>
  <si>
    <t>calc a</t>
  </si>
  <si>
    <t>calc b</t>
  </si>
  <si>
    <t>factor</t>
  </si>
  <si>
    <t>Enter Salinity</t>
  </si>
  <si>
    <t>Specific Gravity</t>
  </si>
  <si>
    <t>Salt Mix Quantities Calculator</t>
  </si>
  <si>
    <r>
      <t xml:space="preserve">Specific Gravity </t>
    </r>
    <r>
      <rPr>
        <b/>
        <sz val="18"/>
        <color rgb="FF000000"/>
        <rFont val="Wingdings 3"/>
        <family val="1"/>
        <charset val="2"/>
      </rPr>
      <t>n</t>
    </r>
    <r>
      <rPr>
        <b/>
        <sz val="14"/>
        <color rgb="FF000000"/>
        <rFont val="Wingdings 3"/>
        <family val="1"/>
        <charset val="2"/>
      </rPr>
      <t xml:space="preserve"> </t>
    </r>
    <r>
      <rPr>
        <b/>
        <sz val="14"/>
        <color rgb="FF000000"/>
        <rFont val="Calibri"/>
        <family val="2"/>
        <scheme val="minor"/>
      </rPr>
      <t xml:space="preserve">Salinity </t>
    </r>
  </si>
  <si>
    <t>Salt needed to reach target Salinity:</t>
  </si>
  <si>
    <t>Tank Salt Mix Correction Options:</t>
  </si>
  <si>
    <t>Enter Specific Gravity, OR</t>
  </si>
  <si>
    <t>Base Temp (Fahrenheit)</t>
  </si>
  <si>
    <t>solve Salinity</t>
  </si>
  <si>
    <t>solve SG</t>
  </si>
  <si>
    <t>calc Salinity // calc Sg</t>
  </si>
  <si>
    <r>
      <t>actual C</t>
    </r>
    <r>
      <rPr>
        <sz val="11"/>
        <color theme="1"/>
        <rFont val="Calibri"/>
        <family val="2"/>
      </rPr>
      <t>°</t>
    </r>
  </si>
  <si>
    <r>
      <t>Actual F</t>
    </r>
    <r>
      <rPr>
        <sz val="11"/>
        <color theme="1"/>
        <rFont val="Calibri"/>
        <family val="2"/>
      </rPr>
      <t>°</t>
    </r>
  </si>
  <si>
    <t>Seed Values</t>
  </si>
  <si>
    <t>na</t>
  </si>
  <si>
    <t>Measured Salinity</t>
  </si>
  <si>
    <t>Measured SG</t>
  </si>
  <si>
    <t>Table Lookup for Specific Gravity</t>
  </si>
  <si>
    <t>Lookup Salinity-under development</t>
  </si>
  <si>
    <t>Temp</t>
  </si>
  <si>
    <t>Sal</t>
  </si>
  <si>
    <t>SG Calc</t>
  </si>
  <si>
    <t>degrees F</t>
  </si>
  <si>
    <t>Degrees C</t>
  </si>
  <si>
    <t>.</t>
  </si>
  <si>
    <t>Area bordered in RED is data table, DO NOT add or delete any data without understanding consequences!</t>
  </si>
  <si>
    <t>Temp from ='Salinity Calculations'!F4</t>
  </si>
  <si>
    <t>SG from ='Salinity Calculations'!F5</t>
  </si>
  <si>
    <t xml:space="preserve">Sal from ='Salinity Calculations'!F6 </t>
  </si>
  <si>
    <t>User Input Values</t>
  </si>
  <si>
    <t>Calculated Results</t>
  </si>
  <si>
    <t>Measure and Enter Resulting Salinity:</t>
  </si>
  <si>
    <t>Measure and enter Resulting Salinity:</t>
  </si>
  <si>
    <t>These CALCS ARE NOT CURRENTLY USED</t>
  </si>
  <si>
    <t>Choose Preferred Measurement System:</t>
  </si>
  <si>
    <t>Enter Target Salinity :</t>
  </si>
  <si>
    <t>Enter Measured Salinity:</t>
  </si>
  <si>
    <t>Enter EstimatedWater Volume:</t>
  </si>
  <si>
    <t>Scale</t>
  </si>
  <si>
    <t>Temp C</t>
  </si>
  <si>
    <t>Measure and enter Resulting Salinity</t>
  </si>
  <si>
    <t>TEMP FIXED at 25 C</t>
  </si>
  <si>
    <t>C</t>
  </si>
  <si>
    <t>23.0°C</t>
  </si>
  <si>
    <t>23.5°C</t>
  </si>
  <si>
    <t>24.0°C</t>
  </si>
  <si>
    <t>24.5°C</t>
  </si>
  <si>
    <t>25.0°C</t>
  </si>
  <si>
    <t>25.5°C</t>
  </si>
  <si>
    <t>26.0°C</t>
  </si>
  <si>
    <t>26.5°C</t>
  </si>
  <si>
    <t>27.0°C</t>
  </si>
  <si>
    <t>27.5°C</t>
  </si>
  <si>
    <t>28.0°C</t>
  </si>
  <si>
    <t>28.5°C</t>
  </si>
  <si>
    <t>29.0°C</t>
  </si>
  <si>
    <t>29.5°C</t>
  </si>
  <si>
    <t>30.0°C</t>
  </si>
  <si>
    <t>From Randy Holmes Farley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</si>
</sst>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0.0000"/>
    <numFmt numFmtId="165" formatCode="0.0"/>
    <numFmt numFmtId="166" formatCode="0.000"/>
    <numFmt numFmtId="167" formatCode="0.0%"/>
    <numFmt numFmtId="168" formatCode="_(* #,##0.0_);_(* \(#,##0.0\);_(* &quot;-&quot;??_);_(@_)"/>
    <numFmt numFmtId="169" formatCode="0.000000"/>
  </numFmts>
  <fonts count="46" x14ac:knownFonts="1">
    <font>
      <sz val="11"/>
      <color theme="1"/>
      <name val="Calibri"/>
      <family val="2"/>
      <scheme val="minor"/>
    </font>
    <font>
      <sz val="11"/>
      <color theme="1"/>
      <name val="Calibri"/>
      <family val="2"/>
    </font>
    <font>
      <sz val="11"/>
      <color theme="1"/>
      <name val="Calibri"/>
      <family val="2"/>
    </font>
    <font>
      <b/>
      <sz val="11"/>
      <color theme="1"/>
      <name val="Calibri"/>
      <family val="2"/>
      <scheme val="minor"/>
    </font>
    <font>
      <b/>
      <i/>
      <sz val="11"/>
      <color theme="1"/>
      <name val="Calibri"/>
      <family val="2"/>
      <scheme val="minor"/>
    </font>
    <font>
      <b/>
      <sz val="16"/>
      <color theme="1"/>
      <name val="Calibri"/>
      <family val="2"/>
      <scheme val="minor"/>
    </font>
    <font>
      <sz val="12"/>
      <color theme="1"/>
      <name val="Calibri"/>
      <family val="2"/>
      <scheme val="minor"/>
    </font>
    <font>
      <sz val="11"/>
      <color theme="1"/>
      <name val="Calibri"/>
      <family val="2"/>
    </font>
    <font>
      <u/>
      <sz val="11"/>
      <color theme="10"/>
      <name val="Calibri"/>
      <family val="2"/>
    </font>
    <font>
      <sz val="11"/>
      <color theme="1"/>
      <name val="Calibri"/>
      <family val="2"/>
      <scheme val="minor"/>
    </font>
    <font>
      <b/>
      <sz val="11"/>
      <color theme="1"/>
      <name val="Calibri"/>
      <family val="2"/>
    </font>
    <font>
      <sz val="11"/>
      <color theme="1"/>
      <name val="Calibri"/>
      <scheme val="minor"/>
    </font>
    <font>
      <b/>
      <u/>
      <sz val="16"/>
      <color theme="1"/>
      <name val="Calibri"/>
      <family val="2"/>
    </font>
    <font>
      <b/>
      <sz val="11"/>
      <color theme="1"/>
      <name val="Calibri"/>
    </font>
    <font>
      <sz val="11"/>
      <color theme="1"/>
      <name val="Calibri"/>
    </font>
    <font>
      <b/>
      <sz val="11"/>
      <color rgb="FFFF0000"/>
      <name val="Calibri"/>
    </font>
    <font>
      <b/>
      <u/>
      <sz val="14"/>
      <color theme="1"/>
      <name val="Calibri"/>
      <family val="2"/>
      <scheme val="minor"/>
    </font>
    <font>
      <b/>
      <u/>
      <sz val="11"/>
      <color theme="1"/>
      <name val="Calibri"/>
      <family val="2"/>
      <scheme val="minor"/>
    </font>
    <font>
      <b/>
      <sz val="14"/>
      <color theme="1"/>
      <name val="Calibri"/>
      <family val="2"/>
      <scheme val="minor"/>
    </font>
    <font>
      <sz val="11"/>
      <color rgb="FFFF0000"/>
      <name val="Calibri"/>
      <family val="2"/>
      <scheme val="minor"/>
    </font>
    <font>
      <b/>
      <sz val="12"/>
      <color theme="7" tint="-0.249977111117893"/>
      <name val="Calibri"/>
      <family val="2"/>
      <scheme val="minor"/>
    </font>
    <font>
      <b/>
      <sz val="12"/>
      <color theme="1"/>
      <name val="Calibri"/>
      <family val="2"/>
      <scheme val="minor"/>
    </font>
    <font>
      <b/>
      <sz val="12"/>
      <color theme="9" tint="-0.499984740745262"/>
      <name val="Calibri"/>
      <family val="2"/>
      <scheme val="minor"/>
    </font>
    <font>
      <b/>
      <sz val="12"/>
      <color rgb="FFFF0000"/>
      <name val="Calibri"/>
      <family val="2"/>
      <scheme val="minor"/>
    </font>
    <font>
      <sz val="14"/>
      <color theme="1"/>
      <name val="Arial"/>
      <family val="2"/>
    </font>
    <font>
      <b/>
      <sz val="18"/>
      <color theme="1"/>
      <name val="Calibri"/>
      <family val="2"/>
      <scheme val="minor"/>
    </font>
    <font>
      <b/>
      <sz val="18"/>
      <color rgb="FFFF0000"/>
      <name val="Calibri"/>
      <family val="2"/>
    </font>
    <font>
      <b/>
      <sz val="12"/>
      <color theme="5"/>
      <name val="Calibri"/>
      <family val="2"/>
      <scheme val="minor"/>
    </font>
    <font>
      <b/>
      <sz val="11"/>
      <color theme="5"/>
      <name val="Calibri"/>
      <family val="2"/>
      <scheme val="minor"/>
    </font>
    <font>
      <b/>
      <sz val="14"/>
      <color rgb="FF000000"/>
      <name val="Calibri"/>
      <family val="2"/>
      <scheme val="minor"/>
    </font>
    <font>
      <b/>
      <sz val="18"/>
      <color rgb="FFFF0000"/>
      <name val="Calibri"/>
      <family val="2"/>
      <scheme val="minor"/>
    </font>
    <font>
      <sz val="12"/>
      <color rgb="FF000000"/>
      <name val="Calibri"/>
      <family val="2"/>
      <scheme val="minor"/>
    </font>
    <font>
      <b/>
      <sz val="20"/>
      <color theme="1"/>
      <name val="Calibri"/>
      <family val="2"/>
      <scheme val="minor"/>
    </font>
    <font>
      <b/>
      <u/>
      <sz val="14"/>
      <color theme="10"/>
      <name val="Calibri"/>
      <family val="2"/>
    </font>
    <font>
      <sz val="11"/>
      <color theme="1"/>
      <name val="Wingdings 3"/>
      <family val="1"/>
      <charset val="2"/>
    </font>
    <font>
      <b/>
      <sz val="18"/>
      <color rgb="FF000000"/>
      <name val="Wingdings 3"/>
      <family val="1"/>
      <charset val="2"/>
    </font>
    <font>
      <b/>
      <sz val="14"/>
      <color rgb="FF000000"/>
      <name val="Wingdings 3"/>
      <family val="1"/>
      <charset val="2"/>
    </font>
    <font>
      <sz val="11"/>
      <color rgb="FF000000"/>
      <name val="Arial"/>
      <family val="2"/>
    </font>
    <font>
      <b/>
      <sz val="11"/>
      <color rgb="FFFF0000"/>
      <name val="Calibri"/>
      <family val="2"/>
      <scheme val="minor"/>
    </font>
    <font>
      <sz val="10"/>
      <color rgb="FF003300"/>
      <name val="Arial"/>
      <family val="2"/>
    </font>
    <font>
      <b/>
      <sz val="10"/>
      <color rgb="FF003300"/>
      <name val="Arial"/>
      <family val="2"/>
    </font>
    <font>
      <sz val="10"/>
      <color rgb="FF000080"/>
      <name val="Arial"/>
      <family val="2"/>
    </font>
    <font>
      <b/>
      <sz val="10"/>
      <color rgb="FF000080"/>
      <name val="Arial"/>
      <family val="2"/>
    </font>
    <font>
      <sz val="11"/>
      <color rgb="FF003300"/>
      <name val="Calibri"/>
      <family val="2"/>
    </font>
    <font>
      <sz val="11"/>
      <color rgb="FF003300"/>
      <name val="Arial"/>
      <family val="2"/>
    </font>
    <font>
      <sz val="11"/>
      <color theme="1"/>
      <name val="Arial"/>
      <family val="2"/>
    </font>
  </fonts>
  <fills count="19">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rgb="FFFFFF00"/>
        <bgColor rgb="FFFFFF00"/>
      </patternFill>
    </fill>
    <fill>
      <patternFill patternType="solid">
        <fgColor rgb="FF92D050"/>
        <bgColor rgb="FF92D050"/>
      </patternFill>
    </fill>
    <fill>
      <patternFill patternType="solid">
        <fgColor theme="4" tint="0.39997558519241921"/>
        <bgColor indexed="64"/>
      </patternFill>
    </fill>
    <fill>
      <patternFill patternType="solid">
        <fgColor theme="0"/>
        <bgColor indexed="64"/>
      </patternFill>
    </fill>
    <fill>
      <patternFill patternType="solid">
        <fgColor rgb="FFFF7C80"/>
        <bgColor indexed="64"/>
      </patternFill>
    </fill>
    <fill>
      <patternFill patternType="solid">
        <fgColor rgb="FF92D050"/>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theme="3" tint="0.79998168889431442"/>
        <bgColor theme="3" tint="0.79998168889431442"/>
      </patternFill>
    </fill>
    <fill>
      <patternFill patternType="solid">
        <fgColor theme="0"/>
        <bgColor theme="0"/>
      </patternFill>
    </fill>
    <fill>
      <patternFill patternType="solid">
        <fgColor theme="3" tint="0.39994506668294322"/>
        <bgColor indexed="64"/>
      </patternFill>
    </fill>
    <fill>
      <patternFill patternType="solid">
        <fgColor theme="6"/>
        <bgColor indexed="64"/>
      </patternFill>
    </fill>
    <fill>
      <patternFill patternType="solid">
        <fgColor theme="4" tint="0.59996337778862885"/>
        <bgColor indexed="64"/>
      </patternFill>
    </fill>
    <fill>
      <patternFill patternType="solid">
        <fgColor theme="4" tint="0.59999389629810485"/>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right style="medium">
        <color indexed="64"/>
      </right>
      <top/>
      <bottom/>
      <diagonal/>
    </border>
    <border>
      <left style="medium">
        <color indexed="64"/>
      </left>
      <right/>
      <top style="mediumDashed">
        <color indexed="64"/>
      </top>
      <bottom/>
      <diagonal/>
    </border>
    <border>
      <left/>
      <right/>
      <top style="mediumDashed">
        <color indexed="64"/>
      </top>
      <bottom/>
      <diagonal/>
    </border>
    <border>
      <left/>
      <right style="medium">
        <color indexed="64"/>
      </right>
      <top style="mediumDashed">
        <color indexed="64"/>
      </top>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medium">
        <color indexed="64"/>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top style="double">
        <color auto="1"/>
      </top>
      <bottom/>
      <diagonal/>
    </border>
    <border>
      <left style="thin">
        <color indexed="64"/>
      </left>
      <right/>
      <top/>
      <bottom/>
      <diagonal/>
    </border>
    <border>
      <left style="thin">
        <color indexed="64"/>
      </left>
      <right/>
      <top/>
      <bottom style="thin">
        <color indexed="64"/>
      </bottom>
      <diagonal/>
    </border>
    <border>
      <left/>
      <right style="double">
        <color auto="1"/>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ck">
        <color auto="1"/>
      </left>
      <right style="thick">
        <color auto="1"/>
      </right>
      <top style="thick">
        <color auto="1"/>
      </top>
      <bottom style="thick">
        <color auto="1"/>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medium">
        <color rgb="FF000000"/>
      </right>
      <top/>
      <bottom style="medium">
        <color rgb="FF000000"/>
      </bottom>
      <diagonal/>
    </border>
    <border>
      <left style="thick">
        <color rgb="FFFF0000"/>
      </left>
      <right style="medium">
        <color rgb="FF000000"/>
      </right>
      <top style="thick">
        <color rgb="FFFF0000"/>
      </top>
      <bottom style="medium">
        <color rgb="FF000000"/>
      </bottom>
      <diagonal/>
    </border>
    <border>
      <left/>
      <right style="medium">
        <color rgb="FF000000"/>
      </right>
      <top style="thick">
        <color rgb="FFFF0000"/>
      </top>
      <bottom style="medium">
        <color rgb="FF000000"/>
      </bottom>
      <diagonal/>
    </border>
    <border>
      <left/>
      <right style="thick">
        <color rgb="FFFF0000"/>
      </right>
      <top style="thick">
        <color rgb="FFFF0000"/>
      </top>
      <bottom style="medium">
        <color rgb="FF000000"/>
      </bottom>
      <diagonal/>
    </border>
    <border>
      <left style="thick">
        <color rgb="FFFF0000"/>
      </left>
      <right style="medium">
        <color rgb="FF000000"/>
      </right>
      <top/>
      <bottom style="medium">
        <color rgb="FF000000"/>
      </bottom>
      <diagonal/>
    </border>
    <border>
      <left/>
      <right style="thick">
        <color rgb="FFFF0000"/>
      </right>
      <top/>
      <bottom style="medium">
        <color rgb="FF000000"/>
      </bottom>
      <diagonal/>
    </border>
    <border>
      <left/>
      <right style="medium">
        <color rgb="FF000000"/>
      </right>
      <top/>
      <bottom style="thick">
        <color rgb="FFFF0000"/>
      </bottom>
      <diagonal/>
    </border>
    <border>
      <left/>
      <right style="thick">
        <color rgb="FFFF0000"/>
      </right>
      <top/>
      <bottom style="thick">
        <color rgb="FFFF0000"/>
      </bottom>
      <diagonal/>
    </border>
    <border>
      <left style="medium">
        <color indexed="64"/>
      </left>
      <right style="thick">
        <color indexed="64"/>
      </right>
      <top style="medium">
        <color indexed="64"/>
      </top>
      <bottom style="thick">
        <color indexed="64"/>
      </bottom>
      <diagonal/>
    </border>
    <border>
      <left style="medium">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thick">
        <color indexed="64"/>
      </bottom>
      <diagonal/>
    </border>
    <border>
      <left style="medium">
        <color indexed="64"/>
      </left>
      <right style="thick">
        <color indexed="64"/>
      </right>
      <top style="thick">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top style="medium">
        <color indexed="64"/>
      </top>
      <bottom style="medium">
        <color indexed="64"/>
      </bottom>
      <diagonal/>
    </border>
    <border>
      <left style="thick">
        <color indexed="64"/>
      </left>
      <right/>
      <top style="medium">
        <color indexed="64"/>
      </top>
      <bottom style="thick">
        <color indexed="64"/>
      </bottom>
      <diagonal/>
    </border>
    <border>
      <left/>
      <right style="medium">
        <color indexed="64"/>
      </right>
      <top style="medium">
        <color indexed="64"/>
      </top>
      <bottom style="thick">
        <color indexed="64"/>
      </bottom>
      <diagonal/>
    </border>
    <border>
      <left/>
      <right/>
      <top style="thick">
        <color rgb="FFFF0000"/>
      </top>
      <bottom style="medium">
        <color rgb="FF000000"/>
      </bottom>
      <diagonal/>
    </border>
    <border>
      <left/>
      <right/>
      <top/>
      <bottom style="medium">
        <color rgb="FF000000"/>
      </bottom>
      <diagonal/>
    </border>
    <border>
      <left style="medium">
        <color rgb="FF0070C0"/>
      </left>
      <right style="medium">
        <color rgb="FF0070C0"/>
      </right>
      <top/>
      <bottom style="medium">
        <color rgb="FF0070C0"/>
      </bottom>
      <diagonal/>
    </border>
    <border>
      <left style="medium">
        <color rgb="FF0070C0"/>
      </left>
      <right style="medium">
        <color rgb="FF0070C0"/>
      </right>
      <top style="medium">
        <color rgb="FF0070C0"/>
      </top>
      <bottom style="medium">
        <color rgb="FF0070C0"/>
      </bottom>
      <diagonal/>
    </border>
    <border>
      <left style="medium">
        <color rgb="FF0070C0"/>
      </left>
      <right style="medium">
        <color rgb="FF0070C0"/>
      </right>
      <top style="medium">
        <color rgb="FF0070C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right style="thick">
        <color rgb="FFFF0000"/>
      </right>
      <top style="medium">
        <color rgb="FF000000"/>
      </top>
      <bottom style="medium">
        <color rgb="FF000000"/>
      </bottom>
      <diagonal/>
    </border>
    <border>
      <left style="thick">
        <color rgb="FFFF0000"/>
      </left>
      <right style="medium">
        <color rgb="FF000000"/>
      </right>
      <top style="medium">
        <color rgb="FF000000"/>
      </top>
      <bottom style="medium">
        <color theme="1"/>
      </bottom>
      <diagonal/>
    </border>
    <border>
      <left style="thick">
        <color rgb="FFFF0000"/>
      </left>
      <right style="thick">
        <color theme="1"/>
      </right>
      <top style="medium">
        <color theme="1"/>
      </top>
      <bottom style="thick">
        <color rgb="FFFF0000"/>
      </bottom>
      <diagonal/>
    </border>
    <border>
      <left style="thick">
        <color rgb="FFFF0000"/>
      </left>
      <right style="thick">
        <color theme="1"/>
      </right>
      <top style="medium">
        <color theme="1"/>
      </top>
      <bottom style="medium">
        <color theme="1"/>
      </bottom>
      <diagonal/>
    </border>
  </borders>
  <cellStyleXfs count="5">
    <xf numFmtId="0" fontId="0" fillId="0" borderId="0"/>
    <xf numFmtId="0" fontId="8" fillId="0" borderId="0" applyNumberFormat="0" applyFill="0" applyBorder="0" applyAlignment="0" applyProtection="0">
      <alignment vertical="top"/>
      <protection locked="0"/>
    </xf>
    <xf numFmtId="43" fontId="9" fillId="0" borderId="0" applyFont="0" applyFill="0" applyBorder="0" applyAlignment="0" applyProtection="0"/>
    <xf numFmtId="9" fontId="9" fillId="0" borderId="0" applyFont="0" applyFill="0" applyBorder="0" applyAlignment="0" applyProtection="0"/>
    <xf numFmtId="0" fontId="11" fillId="0" borderId="0"/>
  </cellStyleXfs>
  <cellXfs count="438">
    <xf numFmtId="0" fontId="0" fillId="0" borderId="0" xfId="0"/>
    <xf numFmtId="0" fontId="0" fillId="0" borderId="1" xfId="0" applyBorder="1" applyAlignment="1">
      <alignment horizontal="center"/>
    </xf>
    <xf numFmtId="0" fontId="0" fillId="0" borderId="0" xfId="0" applyAlignment="1">
      <alignment horizontal="center"/>
    </xf>
    <xf numFmtId="0" fontId="0" fillId="0" borderId="0" xfId="0" applyAlignment="1">
      <alignment vertical="top"/>
    </xf>
    <xf numFmtId="0" fontId="0" fillId="0" borderId="1" xfId="0" applyBorder="1" applyAlignment="1">
      <alignment vertical="top"/>
    </xf>
    <xf numFmtId="0" fontId="5" fillId="0" borderId="5" xfId="0" applyFont="1" applyBorder="1"/>
    <xf numFmtId="0" fontId="5" fillId="0" borderId="3" xfId="0" applyFont="1" applyBorder="1"/>
    <xf numFmtId="0" fontId="5" fillId="0" borderId="4" xfId="0" applyFont="1" applyBorder="1"/>
    <xf numFmtId="0" fontId="3" fillId="0" borderId="0" xfId="0" applyFont="1"/>
    <xf numFmtId="0" fontId="0" fillId="0" borderId="8" xfId="0" applyBorder="1"/>
    <xf numFmtId="0" fontId="0" fillId="0" borderId="0" xfId="0" applyAlignment="1">
      <alignment horizontal="right"/>
    </xf>
    <xf numFmtId="164" fontId="0" fillId="0" borderId="0" xfId="0" applyNumberFormat="1"/>
    <xf numFmtId="0" fontId="4" fillId="0" borderId="0" xfId="0" applyFont="1" applyAlignment="1">
      <alignment horizontal="center"/>
    </xf>
    <xf numFmtId="0" fontId="0" fillId="3" borderId="1" xfId="0" applyFill="1" applyBorder="1" applyAlignment="1" applyProtection="1">
      <alignment horizontal="center"/>
      <protection locked="0"/>
    </xf>
    <xf numFmtId="0" fontId="0" fillId="3" borderId="1" xfId="0" applyFill="1" applyBorder="1" applyAlignment="1" applyProtection="1">
      <alignment vertical="top"/>
      <protection locked="0"/>
    </xf>
    <xf numFmtId="0" fontId="0" fillId="0" borderId="9" xfId="0" applyBorder="1" applyAlignment="1">
      <alignment horizontal="center"/>
    </xf>
    <xf numFmtId="0" fontId="0" fillId="0" borderId="10" xfId="0" applyBorder="1" applyAlignment="1">
      <alignment horizontal="center"/>
    </xf>
    <xf numFmtId="0" fontId="4" fillId="0" borderId="9" xfId="0" applyFont="1" applyBorder="1" applyAlignment="1">
      <alignment horizontal="center"/>
    </xf>
    <xf numFmtId="164" fontId="0" fillId="0" borderId="1" xfId="0" applyNumberFormat="1" applyBorder="1"/>
    <xf numFmtId="0" fontId="0" fillId="0" borderId="10" xfId="0" applyBorder="1"/>
    <xf numFmtId="165" fontId="0" fillId="0" borderId="1" xfId="0" applyNumberFormat="1" applyBorder="1" applyAlignment="1">
      <alignment horizontal="center"/>
    </xf>
    <xf numFmtId="1" fontId="0" fillId="0" borderId="1" xfId="0" applyNumberFormat="1" applyBorder="1"/>
    <xf numFmtId="0" fontId="0" fillId="0" borderId="11" xfId="0" applyBorder="1" applyAlignment="1">
      <alignment horizontal="center"/>
    </xf>
    <xf numFmtId="0" fontId="0" fillId="0" borderId="11" xfId="0" applyBorder="1" applyAlignment="1">
      <alignment vertical="top"/>
    </xf>
    <xf numFmtId="0" fontId="0" fillId="2" borderId="2" xfId="0" applyFill="1" applyBorder="1" applyProtection="1">
      <protection locked="0"/>
    </xf>
    <xf numFmtId="0" fontId="0" fillId="2" borderId="1" xfId="0" applyFill="1" applyBorder="1" applyProtection="1">
      <protection locked="0"/>
    </xf>
    <xf numFmtId="0" fontId="3" fillId="0" borderId="0" xfId="0" applyFont="1" applyAlignment="1">
      <alignment horizontal="center"/>
    </xf>
    <xf numFmtId="0" fontId="3" fillId="0" borderId="12" xfId="0" applyFont="1" applyBorder="1" applyAlignment="1">
      <alignment horizontal="center"/>
    </xf>
    <xf numFmtId="165" fontId="3" fillId="0" borderId="12" xfId="0" applyNumberFormat="1" applyFont="1" applyBorder="1" applyAlignment="1">
      <alignment horizontal="center"/>
    </xf>
    <xf numFmtId="0" fontId="7" fillId="0" borderId="0" xfId="0" applyFont="1"/>
    <xf numFmtId="0" fontId="4" fillId="0" borderId="13" xfId="0" applyFont="1" applyBorder="1" applyAlignment="1">
      <alignment horizontal="center"/>
    </xf>
    <xf numFmtId="0" fontId="8" fillId="0" borderId="0" xfId="1" applyAlignment="1" applyProtection="1"/>
    <xf numFmtId="0" fontId="11" fillId="0" borderId="0" xfId="4"/>
    <xf numFmtId="0" fontId="13" fillId="0" borderId="0" xfId="4" applyFont="1"/>
    <xf numFmtId="0" fontId="10" fillId="0" borderId="18" xfId="4" applyFont="1" applyBorder="1"/>
    <xf numFmtId="0" fontId="14" fillId="4" borderId="19" xfId="4" applyFont="1" applyFill="1" applyBorder="1" applyAlignment="1" applyProtection="1">
      <alignment horizontal="center"/>
      <protection locked="0"/>
    </xf>
    <xf numFmtId="0" fontId="13" fillId="0" borderId="20" xfId="4" applyFont="1" applyBorder="1"/>
    <xf numFmtId="0" fontId="13" fillId="0" borderId="18" xfId="4" applyFont="1" applyBorder="1"/>
    <xf numFmtId="0" fontId="14" fillId="0" borderId="0" xfId="4" applyFont="1" applyAlignment="1">
      <alignment horizontal="center"/>
    </xf>
    <xf numFmtId="0" fontId="9" fillId="0" borderId="0" xfId="4" applyFont="1"/>
    <xf numFmtId="0" fontId="10" fillId="0" borderId="20" xfId="4" applyFont="1" applyBorder="1"/>
    <xf numFmtId="166" fontId="15" fillId="5" borderId="1" xfId="4" applyNumberFormat="1" applyFont="1" applyFill="1" applyBorder="1" applyAlignment="1">
      <alignment horizontal="center"/>
    </xf>
    <xf numFmtId="0" fontId="14" fillId="4" borderId="18" xfId="4" applyFont="1" applyFill="1" applyBorder="1"/>
    <xf numFmtId="0" fontId="11" fillId="0" borderId="20" xfId="4" applyBorder="1"/>
    <xf numFmtId="0" fontId="15" fillId="5" borderId="18" xfId="4" applyFont="1" applyFill="1" applyBorder="1"/>
    <xf numFmtId="0" fontId="3" fillId="0" borderId="18" xfId="4" applyFont="1" applyBorder="1"/>
    <xf numFmtId="166" fontId="14" fillId="6" borderId="14" xfId="4" applyNumberFormat="1" applyFont="1" applyFill="1" applyBorder="1" applyAlignment="1">
      <alignment horizontal="center"/>
    </xf>
    <xf numFmtId="0" fontId="3" fillId="0" borderId="20" xfId="4" applyFont="1" applyBorder="1"/>
    <xf numFmtId="0" fontId="11" fillId="0" borderId="18" xfId="4" applyBorder="1"/>
    <xf numFmtId="166" fontId="14" fillId="6" borderId="24" xfId="4" applyNumberFormat="1" applyFont="1" applyFill="1" applyBorder="1" applyAlignment="1">
      <alignment horizontal="center"/>
    </xf>
    <xf numFmtId="0" fontId="14" fillId="2" borderId="1" xfId="4" applyFont="1" applyFill="1" applyBorder="1" applyAlignment="1" applyProtection="1">
      <alignment horizontal="center"/>
      <protection locked="0"/>
    </xf>
    <xf numFmtId="0" fontId="14" fillId="7" borderId="0" xfId="4" applyFont="1" applyFill="1" applyAlignment="1">
      <alignment horizontal="center"/>
    </xf>
    <xf numFmtId="166" fontId="14" fillId="8" borderId="1" xfId="4" applyNumberFormat="1" applyFont="1" applyFill="1" applyBorder="1" applyAlignment="1">
      <alignment horizontal="center"/>
    </xf>
    <xf numFmtId="166" fontId="14" fillId="8" borderId="24" xfId="4" applyNumberFormat="1" applyFont="1" applyFill="1" applyBorder="1" applyAlignment="1">
      <alignment horizontal="center"/>
    </xf>
    <xf numFmtId="0" fontId="3" fillId="0" borderId="26" xfId="4" applyFont="1" applyBorder="1"/>
    <xf numFmtId="0" fontId="11" fillId="0" borderId="28" xfId="4" applyBorder="1"/>
    <xf numFmtId="0" fontId="11" fillId="0" borderId="29" xfId="4" applyBorder="1"/>
    <xf numFmtId="0" fontId="11" fillId="0" borderId="30" xfId="4" applyBorder="1"/>
    <xf numFmtId="0" fontId="3" fillId="0" borderId="0" xfId="4" applyFont="1"/>
    <xf numFmtId="0" fontId="11" fillId="0" borderId="31" xfId="4" applyBorder="1"/>
    <xf numFmtId="0" fontId="11" fillId="9" borderId="1" xfId="4" applyFill="1" applyBorder="1" applyProtection="1">
      <protection locked="0"/>
    </xf>
    <xf numFmtId="0" fontId="3" fillId="0" borderId="5" xfId="4" applyFont="1" applyBorder="1"/>
    <xf numFmtId="0" fontId="11" fillId="0" borderId="4" xfId="4" applyBorder="1"/>
    <xf numFmtId="0" fontId="3" fillId="9" borderId="32" xfId="4" applyFont="1" applyFill="1" applyBorder="1" applyProtection="1">
      <protection locked="0"/>
    </xf>
    <xf numFmtId="0" fontId="3" fillId="0" borderId="3" xfId="4" applyFont="1" applyBorder="1"/>
    <xf numFmtId="0" fontId="3" fillId="0" borderId="4" xfId="4" applyFont="1" applyBorder="1"/>
    <xf numFmtId="2" fontId="11" fillId="2" borderId="1" xfId="4" applyNumberFormat="1" applyFill="1" applyBorder="1"/>
    <xf numFmtId="165" fontId="11" fillId="2" borderId="1" xfId="4" applyNumberFormat="1" applyFill="1" applyBorder="1"/>
    <xf numFmtId="0" fontId="18" fillId="0" borderId="30" xfId="4" applyFont="1" applyBorder="1"/>
    <xf numFmtId="2" fontId="11" fillId="0" borderId="0" xfId="4" applyNumberFormat="1"/>
    <xf numFmtId="0" fontId="9" fillId="0" borderId="31" xfId="4" applyFont="1" applyBorder="1"/>
    <xf numFmtId="165" fontId="11" fillId="10" borderId="1" xfId="4" applyNumberFormat="1" applyFill="1" applyBorder="1"/>
    <xf numFmtId="2" fontId="11" fillId="10" borderId="1" xfId="4" applyNumberFormat="1" applyFill="1" applyBorder="1"/>
    <xf numFmtId="165" fontId="9" fillId="10" borderId="1" xfId="4" applyNumberFormat="1" applyFont="1" applyFill="1" applyBorder="1" applyProtection="1">
      <protection locked="0"/>
    </xf>
    <xf numFmtId="0" fontId="11" fillId="0" borderId="33" xfId="4" applyBorder="1"/>
    <xf numFmtId="0" fontId="11" fillId="0" borderId="34" xfId="4" applyBorder="1"/>
    <xf numFmtId="0" fontId="11" fillId="0" borderId="35" xfId="4" applyBorder="1"/>
    <xf numFmtId="0" fontId="9" fillId="0" borderId="36" xfId="4" applyFont="1" applyBorder="1"/>
    <xf numFmtId="0" fontId="11" fillId="0" borderId="37" xfId="4" applyBorder="1"/>
    <xf numFmtId="0" fontId="9" fillId="9" borderId="1" xfId="4" applyFont="1" applyFill="1" applyBorder="1"/>
    <xf numFmtId="0" fontId="9" fillId="0" borderId="38" xfId="4" applyFont="1" applyBorder="1"/>
    <xf numFmtId="0" fontId="9" fillId="0" borderId="8" xfId="4" applyFont="1" applyBorder="1"/>
    <xf numFmtId="0" fontId="11" fillId="0" borderId="8" xfId="4" applyBorder="1"/>
    <xf numFmtId="0" fontId="11" fillId="0" borderId="39" xfId="4" applyBorder="1"/>
    <xf numFmtId="167" fontId="0" fillId="0" borderId="0" xfId="3" applyNumberFormat="1" applyFont="1"/>
    <xf numFmtId="2" fontId="0" fillId="0" borderId="0" xfId="0" applyNumberFormat="1"/>
    <xf numFmtId="9" fontId="0" fillId="0" borderId="0" xfId="0" applyNumberFormat="1"/>
    <xf numFmtId="0" fontId="2" fillId="0" borderId="0" xfId="0" applyFont="1"/>
    <xf numFmtId="0" fontId="0" fillId="0" borderId="0" xfId="0" applyAlignment="1">
      <alignment horizontal="right" indent="1"/>
    </xf>
    <xf numFmtId="0" fontId="3" fillId="0" borderId="0" xfId="0" applyFont="1" applyAlignment="1">
      <alignment horizontal="center" wrapText="1"/>
    </xf>
    <xf numFmtId="0" fontId="0" fillId="7" borderId="0" xfId="0" applyFill="1"/>
    <xf numFmtId="0" fontId="0" fillId="11" borderId="40" xfId="0" applyFill="1" applyBorder="1" applyProtection="1">
      <protection locked="0"/>
    </xf>
    <xf numFmtId="2" fontId="19" fillId="11" borderId="9" xfId="0" applyNumberFormat="1" applyFont="1" applyFill="1" applyBorder="1" applyProtection="1">
      <protection locked="0"/>
    </xf>
    <xf numFmtId="9" fontId="0" fillId="11" borderId="41" xfId="3" applyFont="1" applyFill="1" applyBorder="1" applyProtection="1">
      <protection locked="0"/>
    </xf>
    <xf numFmtId="167" fontId="0" fillId="11" borderId="9" xfId="0" applyNumberFormat="1" applyFill="1" applyBorder="1" applyProtection="1">
      <protection locked="0"/>
    </xf>
    <xf numFmtId="167" fontId="0" fillId="11" borderId="13" xfId="0" applyNumberFormat="1" applyFill="1" applyBorder="1" applyProtection="1">
      <protection locked="0"/>
    </xf>
    <xf numFmtId="9" fontId="0" fillId="11" borderId="13" xfId="3" applyFont="1" applyFill="1" applyBorder="1" applyProtection="1">
      <protection locked="0"/>
    </xf>
    <xf numFmtId="0" fontId="0" fillId="11" borderId="6" xfId="0" applyFill="1" applyBorder="1" applyProtection="1">
      <protection locked="0"/>
    </xf>
    <xf numFmtId="0" fontId="0" fillId="0" borderId="9" xfId="0" applyBorder="1"/>
    <xf numFmtId="43" fontId="0" fillId="0" borderId="0" xfId="0" applyNumberFormat="1"/>
    <xf numFmtId="0" fontId="0" fillId="11" borderId="42" xfId="0" applyFill="1" applyBorder="1" applyProtection="1">
      <protection locked="0"/>
    </xf>
    <xf numFmtId="2" fontId="19" fillId="11" borderId="1" xfId="0" applyNumberFormat="1" applyFont="1" applyFill="1" applyBorder="1" applyProtection="1">
      <protection locked="0"/>
    </xf>
    <xf numFmtId="9" fontId="0" fillId="11" borderId="43" xfId="3" applyFont="1" applyFill="1" applyBorder="1" applyProtection="1">
      <protection locked="0"/>
    </xf>
    <xf numFmtId="167" fontId="0" fillId="11" borderId="1" xfId="0" applyNumberFormat="1" applyFill="1" applyBorder="1" applyProtection="1">
      <protection locked="0"/>
    </xf>
    <xf numFmtId="167" fontId="0" fillId="11" borderId="6" xfId="0" applyNumberFormat="1" applyFill="1" applyBorder="1" applyProtection="1">
      <protection locked="0"/>
    </xf>
    <xf numFmtId="9" fontId="0" fillId="11" borderId="6" xfId="3" applyFont="1" applyFill="1" applyBorder="1" applyProtection="1">
      <protection locked="0"/>
    </xf>
    <xf numFmtId="0" fontId="0" fillId="0" borderId="1" xfId="0" applyBorder="1"/>
    <xf numFmtId="9" fontId="0" fillId="0" borderId="0" xfId="3" applyFont="1" applyFill="1" applyBorder="1"/>
    <xf numFmtId="0" fontId="0" fillId="0" borderId="42" xfId="0" applyBorder="1"/>
    <xf numFmtId="2" fontId="19" fillId="0" borderId="1" xfId="0" applyNumberFormat="1" applyFont="1" applyBorder="1"/>
    <xf numFmtId="9" fontId="0" fillId="0" borderId="44" xfId="3" applyFont="1" applyBorder="1"/>
    <xf numFmtId="167" fontId="0" fillId="0" borderId="1" xfId="0" applyNumberFormat="1" applyBorder="1"/>
    <xf numFmtId="167" fontId="0" fillId="0" borderId="6" xfId="0" applyNumberFormat="1" applyBorder="1"/>
    <xf numFmtId="9" fontId="0" fillId="0" borderId="6" xfId="3" applyFont="1" applyBorder="1"/>
    <xf numFmtId="0" fontId="0" fillId="0" borderId="6" xfId="0" applyBorder="1"/>
    <xf numFmtId="9" fontId="0" fillId="0" borderId="43" xfId="3" applyFont="1" applyBorder="1"/>
    <xf numFmtId="2" fontId="0" fillId="0" borderId="1" xfId="0" applyNumberFormat="1" applyBorder="1"/>
    <xf numFmtId="2" fontId="0" fillId="0" borderId="14" xfId="0" applyNumberFormat="1" applyBorder="1"/>
    <xf numFmtId="167" fontId="0" fillId="0" borderId="14" xfId="0" applyNumberFormat="1" applyBorder="1"/>
    <xf numFmtId="167" fontId="0" fillId="0" borderId="45" xfId="0" applyNumberFormat="1" applyBorder="1"/>
    <xf numFmtId="9" fontId="2" fillId="0" borderId="45" xfId="3" applyFont="1" applyBorder="1" applyAlignment="1" applyProtection="1"/>
    <xf numFmtId="0" fontId="0" fillId="0" borderId="45" xfId="0" applyBorder="1"/>
    <xf numFmtId="0" fontId="0" fillId="0" borderId="46" xfId="0" applyBorder="1"/>
    <xf numFmtId="0" fontId="18" fillId="0" borderId="0" xfId="0" applyFont="1"/>
    <xf numFmtId="0" fontId="3" fillId="0" borderId="32" xfId="0" applyFont="1" applyBorder="1" applyAlignment="1">
      <alignment horizontal="center" wrapText="1"/>
    </xf>
    <xf numFmtId="0" fontId="3" fillId="0" borderId="5" xfId="0" applyFont="1" applyBorder="1" applyAlignment="1">
      <alignment horizontal="center" wrapText="1"/>
    </xf>
    <xf numFmtId="0" fontId="3" fillId="0" borderId="32" xfId="0" applyFont="1" applyBorder="1" applyAlignment="1">
      <alignment horizontal="center" vertical="top" wrapText="1"/>
    </xf>
    <xf numFmtId="0" fontId="0" fillId="0" borderId="16" xfId="0" applyBorder="1"/>
    <xf numFmtId="0" fontId="0" fillId="0" borderId="47" xfId="0" applyBorder="1" applyAlignment="1">
      <alignment horizontal="center"/>
    </xf>
    <xf numFmtId="0" fontId="3" fillId="0" borderId="4" xfId="0" applyFont="1" applyBorder="1" applyAlignment="1">
      <alignment horizontal="center"/>
    </xf>
    <xf numFmtId="0" fontId="3" fillId="0" borderId="4" xfId="0" applyFont="1" applyBorder="1" applyAlignment="1">
      <alignment horizontal="center" wrapText="1"/>
    </xf>
    <xf numFmtId="0" fontId="3" fillId="0" borderId="48" xfId="0" applyFont="1" applyBorder="1" applyAlignment="1">
      <alignment horizontal="center"/>
    </xf>
    <xf numFmtId="0" fontId="3" fillId="0" borderId="49" xfId="0" applyFont="1" applyBorder="1" applyAlignment="1">
      <alignment horizontal="center" wrapText="1"/>
    </xf>
    <xf numFmtId="0" fontId="0" fillId="0" borderId="50" xfId="0" applyBorder="1" applyAlignment="1">
      <alignment horizontal="center" wrapText="1"/>
    </xf>
    <xf numFmtId="168" fontId="0" fillId="0" borderId="0" xfId="0" applyNumberFormat="1"/>
    <xf numFmtId="0" fontId="20" fillId="0" borderId="0" xfId="0" applyFont="1" applyAlignment="1">
      <alignment horizontal="center"/>
    </xf>
    <xf numFmtId="0" fontId="0" fillId="7" borderId="0" xfId="0" applyFill="1" applyAlignment="1">
      <alignment horizontal="center"/>
    </xf>
    <xf numFmtId="2" fontId="0" fillId="0" borderId="51" xfId="0" applyNumberFormat="1" applyBorder="1"/>
    <xf numFmtId="2" fontId="0" fillId="0" borderId="24" xfId="0" applyNumberFormat="1" applyBorder="1"/>
    <xf numFmtId="1" fontId="0" fillId="0" borderId="24" xfId="0" applyNumberFormat="1" applyBorder="1" applyAlignment="1">
      <alignment horizontal="right"/>
    </xf>
    <xf numFmtId="0" fontId="0" fillId="11" borderId="24" xfId="0" applyFill="1" applyBorder="1" applyProtection="1">
      <protection locked="0"/>
    </xf>
    <xf numFmtId="0" fontId="0" fillId="11" borderId="52" xfId="0" applyFill="1" applyBorder="1" applyProtection="1">
      <protection locked="0"/>
    </xf>
    <xf numFmtId="2" fontId="0" fillId="0" borderId="42" xfId="0" applyNumberFormat="1" applyBorder="1"/>
    <xf numFmtId="1" fontId="0" fillId="0" borderId="1" xfId="0" applyNumberFormat="1" applyBorder="1" applyAlignment="1">
      <alignment horizontal="right"/>
    </xf>
    <xf numFmtId="0" fontId="0" fillId="11" borderId="1" xfId="0" applyFill="1" applyBorder="1" applyProtection="1">
      <protection locked="0"/>
    </xf>
    <xf numFmtId="0" fontId="0" fillId="11" borderId="44" xfId="0" applyFill="1" applyBorder="1" applyProtection="1">
      <protection locked="0"/>
    </xf>
    <xf numFmtId="2" fontId="6" fillId="0" borderId="1" xfId="0" applyNumberFormat="1" applyFont="1" applyBorder="1"/>
    <xf numFmtId="0" fontId="0" fillId="0" borderId="1" xfId="0" applyBorder="1" applyAlignment="1">
      <alignment horizontal="right" indent="1"/>
    </xf>
    <xf numFmtId="9" fontId="0" fillId="0" borderId="1" xfId="0" applyNumberFormat="1" applyBorder="1"/>
    <xf numFmtId="0" fontId="0" fillId="0" borderId="44" xfId="0" applyBorder="1"/>
    <xf numFmtId="2" fontId="0" fillId="0" borderId="46" xfId="0" applyNumberFormat="1" applyBorder="1"/>
    <xf numFmtId="2" fontId="6" fillId="0" borderId="14" xfId="0" applyNumberFormat="1" applyFont="1" applyBorder="1"/>
    <xf numFmtId="1" fontId="0" fillId="0" borderId="14" xfId="0" applyNumberFormat="1" applyBorder="1" applyAlignment="1">
      <alignment horizontal="right"/>
    </xf>
    <xf numFmtId="0" fontId="0" fillId="0" borderId="14" xfId="0" applyBorder="1" applyAlignment="1">
      <alignment horizontal="right" indent="1"/>
    </xf>
    <xf numFmtId="9" fontId="0" fillId="0" borderId="14" xfId="0" applyNumberFormat="1" applyBorder="1"/>
    <xf numFmtId="0" fontId="0" fillId="0" borderId="14" xfId="0" applyBorder="1"/>
    <xf numFmtId="0" fontId="0" fillId="0" borderId="43" xfId="0" applyBorder="1"/>
    <xf numFmtId="2" fontId="0" fillId="0" borderId="40" xfId="0" applyNumberFormat="1" applyBorder="1"/>
    <xf numFmtId="2" fontId="6" fillId="0" borderId="9" xfId="0" applyNumberFormat="1" applyFont="1" applyBorder="1"/>
    <xf numFmtId="1" fontId="0" fillId="0" borderId="9" xfId="0" applyNumberFormat="1" applyBorder="1" applyAlignment="1">
      <alignment horizontal="right"/>
    </xf>
    <xf numFmtId="0" fontId="0" fillId="0" borderId="9" xfId="0" applyBorder="1" applyAlignment="1">
      <alignment horizontal="right" indent="1"/>
    </xf>
    <xf numFmtId="9" fontId="0" fillId="0" borderId="9" xfId="0" applyNumberFormat="1" applyBorder="1"/>
    <xf numFmtId="0" fontId="0" fillId="0" borderId="53" xfId="0" applyBorder="1"/>
    <xf numFmtId="0" fontId="0" fillId="0" borderId="1" xfId="0" applyBorder="1" applyAlignment="1">
      <alignment horizontal="left"/>
    </xf>
    <xf numFmtId="0" fontId="0" fillId="0" borderId="1" xfId="0" applyBorder="1" applyAlignment="1" applyProtection="1">
      <alignment horizontal="center"/>
      <protection locked="0"/>
    </xf>
    <xf numFmtId="0" fontId="0" fillId="0" borderId="1" xfId="0" applyBorder="1" applyProtection="1">
      <protection locked="0"/>
    </xf>
    <xf numFmtId="0" fontId="0" fillId="0" borderId="44" xfId="0" applyBorder="1" applyProtection="1">
      <protection locked="0"/>
    </xf>
    <xf numFmtId="10" fontId="0" fillId="0" borderId="1" xfId="0" applyNumberFormat="1" applyBorder="1" applyAlignment="1">
      <alignment horizontal="center"/>
    </xf>
    <xf numFmtId="165" fontId="0" fillId="0" borderId="55" xfId="0" applyNumberFormat="1" applyBorder="1"/>
    <xf numFmtId="2" fontId="6" fillId="0" borderId="56" xfId="0" applyNumberFormat="1" applyFont="1" applyBorder="1"/>
    <xf numFmtId="1" fontId="0" fillId="0" borderId="56" xfId="0" applyNumberFormat="1" applyBorder="1" applyAlignment="1">
      <alignment horizontal="right"/>
    </xf>
    <xf numFmtId="0" fontId="0" fillId="0" borderId="56" xfId="0" applyBorder="1" applyAlignment="1">
      <alignment horizontal="right" indent="1"/>
    </xf>
    <xf numFmtId="9" fontId="0" fillId="0" borderId="56" xfId="0" applyNumberFormat="1" applyBorder="1"/>
    <xf numFmtId="0" fontId="0" fillId="0" borderId="56" xfId="0" applyBorder="1"/>
    <xf numFmtId="0" fontId="0" fillId="0" borderId="57" xfId="0" applyBorder="1"/>
    <xf numFmtId="43" fontId="0" fillId="0" borderId="16" xfId="0" applyNumberFormat="1" applyBorder="1"/>
    <xf numFmtId="0" fontId="20" fillId="0" borderId="18" xfId="0" applyFont="1" applyBorder="1" applyAlignment="1">
      <alignment horizontal="center"/>
    </xf>
    <xf numFmtId="2" fontId="3" fillId="0" borderId="32" xfId="0" applyNumberFormat="1" applyFont="1" applyBorder="1" applyAlignment="1">
      <alignment horizontal="center" wrapText="1"/>
    </xf>
    <xf numFmtId="0" fontId="21" fillId="0" borderId="32" xfId="0" applyFont="1" applyBorder="1" applyAlignment="1">
      <alignment horizontal="center" wrapText="1"/>
    </xf>
    <xf numFmtId="0" fontId="3" fillId="0" borderId="58" xfId="0" applyFont="1" applyBorder="1" applyAlignment="1">
      <alignment horizontal="center" wrapText="1"/>
    </xf>
    <xf numFmtId="0" fontId="3" fillId="0" borderId="5" xfId="0" applyFont="1" applyBorder="1" applyAlignment="1">
      <alignment horizontal="center"/>
    </xf>
    <xf numFmtId="0" fontId="3" fillId="0" borderId="32" xfId="0" applyFont="1" applyBorder="1" applyAlignment="1">
      <alignment horizontal="center"/>
    </xf>
    <xf numFmtId="0" fontId="3" fillId="0" borderId="49" xfId="0" applyFont="1" applyBorder="1"/>
    <xf numFmtId="43" fontId="0" fillId="0" borderId="40" xfId="0" applyNumberFormat="1" applyBorder="1"/>
    <xf numFmtId="43" fontId="0" fillId="0" borderId="9" xfId="0" applyNumberFormat="1" applyBorder="1"/>
    <xf numFmtId="43" fontId="0" fillId="0" borderId="53" xfId="0" applyNumberFormat="1" applyBorder="1"/>
    <xf numFmtId="43" fontId="0" fillId="0" borderId="2" xfId="0" applyNumberFormat="1" applyBorder="1"/>
    <xf numFmtId="43" fontId="0" fillId="0" borderId="1" xfId="0" applyNumberFormat="1" applyBorder="1"/>
    <xf numFmtId="43" fontId="0" fillId="0" borderId="44" xfId="0" applyNumberFormat="1" applyBorder="1"/>
    <xf numFmtId="2" fontId="0" fillId="0" borderId="59" xfId="0" applyNumberFormat="1" applyBorder="1"/>
    <xf numFmtId="0" fontId="22" fillId="11" borderId="59" xfId="0" applyFont="1" applyFill="1" applyBorder="1" applyAlignment="1" applyProtection="1">
      <alignment horizontal="center"/>
      <protection locked="0"/>
    </xf>
    <xf numFmtId="165" fontId="0" fillId="0" borderId="42" xfId="0" applyNumberFormat="1" applyBorder="1"/>
    <xf numFmtId="0" fontId="0" fillId="11" borderId="1" xfId="0" applyFill="1" applyBorder="1" applyAlignment="1" applyProtection="1">
      <alignment horizontal="center"/>
      <protection locked="0"/>
    </xf>
    <xf numFmtId="0" fontId="0" fillId="11" borderId="60" xfId="0" applyFill="1" applyBorder="1" applyProtection="1">
      <protection locked="0"/>
    </xf>
    <xf numFmtId="0" fontId="0" fillId="11" borderId="61" xfId="0" applyFill="1" applyBorder="1" applyProtection="1">
      <protection locked="0"/>
    </xf>
    <xf numFmtId="0" fontId="0" fillId="0" borderId="62" xfId="0" applyBorder="1"/>
    <xf numFmtId="43" fontId="0" fillId="0" borderId="42" xfId="0" applyNumberFormat="1" applyBorder="1"/>
    <xf numFmtId="0" fontId="22" fillId="0" borderId="63" xfId="0" applyFont="1" applyBorder="1" applyAlignment="1">
      <alignment horizontal="center"/>
    </xf>
    <xf numFmtId="0" fontId="0" fillId="0" borderId="64" xfId="0" applyBorder="1"/>
    <xf numFmtId="0" fontId="0" fillId="0" borderId="63" xfId="0" applyBorder="1"/>
    <xf numFmtId="0" fontId="23" fillId="0" borderId="0" xfId="0" applyFont="1" applyAlignment="1">
      <alignment horizontal="center"/>
    </xf>
    <xf numFmtId="2" fontId="0" fillId="0" borderId="63" xfId="0" applyNumberFormat="1" applyBorder="1"/>
    <xf numFmtId="0" fontId="23" fillId="0" borderId="63" xfId="0" applyFont="1" applyBorder="1" applyAlignment="1">
      <alignment horizontal="center"/>
    </xf>
    <xf numFmtId="0" fontId="21" fillId="0" borderId="0" xfId="0" applyFont="1" applyAlignment="1">
      <alignment horizontal="center"/>
    </xf>
    <xf numFmtId="0" fontId="21" fillId="0" borderId="63" xfId="0" applyFont="1" applyBorder="1" applyAlignment="1">
      <alignment horizontal="center"/>
    </xf>
    <xf numFmtId="0" fontId="0" fillId="0" borderId="0" xfId="0" applyAlignment="1">
      <alignment horizontal="left"/>
    </xf>
    <xf numFmtId="9" fontId="0" fillId="0" borderId="1" xfId="0" applyNumberFormat="1" applyBorder="1" applyAlignment="1">
      <alignment horizontal="center"/>
    </xf>
    <xf numFmtId="10" fontId="0" fillId="0" borderId="0" xfId="0" applyNumberFormat="1"/>
    <xf numFmtId="0" fontId="24" fillId="0" borderId="0" xfId="0" applyFont="1" applyAlignment="1">
      <alignment horizontal="left" indent="2"/>
    </xf>
    <xf numFmtId="43" fontId="0" fillId="0" borderId="55" xfId="0" applyNumberFormat="1" applyBorder="1"/>
    <xf numFmtId="43" fontId="0" fillId="0" borderId="56" xfId="0" applyNumberFormat="1" applyBorder="1"/>
    <xf numFmtId="43" fontId="0" fillId="0" borderId="57" xfId="0" applyNumberFormat="1" applyBorder="1"/>
    <xf numFmtId="43" fontId="0" fillId="0" borderId="38" xfId="0" applyNumberFormat="1" applyBorder="1"/>
    <xf numFmtId="43" fontId="0" fillId="0" borderId="14" xfId="0" applyNumberFormat="1" applyBorder="1"/>
    <xf numFmtId="43" fontId="0" fillId="0" borderId="43" xfId="0" applyNumberFormat="1" applyBorder="1"/>
    <xf numFmtId="2" fontId="0" fillId="0" borderId="65" xfId="0" applyNumberFormat="1" applyBorder="1"/>
    <xf numFmtId="0" fontId="21" fillId="0" borderId="0" xfId="0" applyFont="1" applyAlignment="1">
      <alignment horizontal="center" wrapText="1"/>
    </xf>
    <xf numFmtId="0" fontId="21" fillId="0" borderId="66" xfId="0" applyFont="1" applyBorder="1" applyAlignment="1">
      <alignment horizontal="center" wrapText="1"/>
    </xf>
    <xf numFmtId="0" fontId="3" fillId="0" borderId="55" xfId="0" applyFont="1" applyBorder="1" applyAlignment="1">
      <alignment horizontal="center"/>
    </xf>
    <xf numFmtId="0" fontId="3" fillId="0" borderId="56" xfId="0" applyFont="1" applyBorder="1" applyAlignment="1">
      <alignment horizontal="center"/>
    </xf>
    <xf numFmtId="0" fontId="3" fillId="0" borderId="67" xfId="0" applyFont="1" applyBorder="1"/>
    <xf numFmtId="0" fontId="3" fillId="0" borderId="68" xfId="0" applyFont="1" applyBorder="1"/>
    <xf numFmtId="0" fontId="0" fillId="0" borderId="66" xfId="0" applyBorder="1"/>
    <xf numFmtId="2" fontId="10" fillId="0" borderId="0" xfId="1" applyNumberFormat="1" applyFont="1" applyBorder="1" applyAlignment="1" applyProtection="1">
      <alignment vertical="top" wrapText="1"/>
    </xf>
    <xf numFmtId="2" fontId="10" fillId="0" borderId="0" xfId="1" applyNumberFormat="1" applyFont="1" applyBorder="1" applyAlignment="1" applyProtection="1">
      <alignment vertical="top"/>
    </xf>
    <xf numFmtId="0" fontId="3" fillId="0" borderId="0" xfId="0" applyFont="1" applyAlignment="1">
      <alignment horizontal="center" vertical="center" wrapText="1"/>
    </xf>
    <xf numFmtId="0" fontId="3" fillId="0" borderId="50" xfId="0" applyFont="1" applyBorder="1" applyAlignment="1">
      <alignment horizontal="center" vertical="top" wrapText="1"/>
    </xf>
    <xf numFmtId="43" fontId="25" fillId="12" borderId="4" xfId="0" applyNumberFormat="1" applyFont="1" applyFill="1" applyBorder="1" applyAlignment="1">
      <alignment horizontal="center" vertical="center"/>
    </xf>
    <xf numFmtId="0" fontId="3" fillId="12" borderId="5" xfId="0" applyFont="1" applyFill="1" applyBorder="1" applyAlignment="1">
      <alignment horizontal="center" wrapText="1"/>
    </xf>
    <xf numFmtId="0" fontId="0" fillId="0" borderId="0" xfId="0" applyAlignment="1">
      <alignment horizontal="center" wrapText="1"/>
    </xf>
    <xf numFmtId="0" fontId="3" fillId="0" borderId="69" xfId="0" applyFont="1" applyBorder="1" applyAlignment="1">
      <alignment horizontal="center" vertical="center" wrapText="1"/>
    </xf>
    <xf numFmtId="0" fontId="3" fillId="0" borderId="26" xfId="0" applyFont="1" applyBorder="1" applyAlignment="1">
      <alignment horizontal="center" wrapText="1"/>
    </xf>
    <xf numFmtId="0" fontId="3" fillId="0" borderId="70" xfId="0" applyFont="1" applyBorder="1" applyAlignment="1">
      <alignment horizontal="center" wrapText="1"/>
    </xf>
    <xf numFmtId="0" fontId="25" fillId="0" borderId="4" xfId="0" applyFont="1" applyBorder="1"/>
    <xf numFmtId="0" fontId="25" fillId="0" borderId="5" xfId="0" applyFont="1" applyBorder="1"/>
    <xf numFmtId="167" fontId="3" fillId="0" borderId="72" xfId="3" applyNumberFormat="1" applyFont="1" applyBorder="1" applyAlignment="1">
      <alignment vertical="top"/>
    </xf>
    <xf numFmtId="43" fontId="0" fillId="0" borderId="73" xfId="0" applyNumberFormat="1" applyBorder="1"/>
    <xf numFmtId="0" fontId="0" fillId="0" borderId="18" xfId="0" applyBorder="1"/>
    <xf numFmtId="0" fontId="3" fillId="0" borderId="71" xfId="0" applyFont="1" applyBorder="1" applyAlignment="1">
      <alignment vertical="center"/>
    </xf>
    <xf numFmtId="0" fontId="0" fillId="0" borderId="26" xfId="0" applyBorder="1"/>
    <xf numFmtId="0" fontId="0" fillId="0" borderId="25" xfId="0" applyBorder="1"/>
    <xf numFmtId="164" fontId="3" fillId="0" borderId="5" xfId="2" applyNumberFormat="1" applyFont="1" applyFill="1" applyBorder="1" applyProtection="1"/>
    <xf numFmtId="0" fontId="3" fillId="0" borderId="26" xfId="0" applyFont="1" applyBorder="1"/>
    <xf numFmtId="0" fontId="18" fillId="0" borderId="25" xfId="0" applyFont="1" applyBorder="1"/>
    <xf numFmtId="167" fontId="3" fillId="0" borderId="74" xfId="3" applyNumberFormat="1" applyFont="1" applyBorder="1" applyAlignment="1">
      <alignment vertical="top"/>
    </xf>
    <xf numFmtId="43" fontId="0" fillId="0" borderId="75" xfId="0" applyNumberFormat="1" applyBorder="1"/>
    <xf numFmtId="0" fontId="0" fillId="0" borderId="15" xfId="0" applyBorder="1"/>
    <xf numFmtId="0" fontId="3" fillId="0" borderId="50" xfId="0" applyFont="1" applyBorder="1" applyAlignment="1">
      <alignment vertical="center"/>
    </xf>
    <xf numFmtId="0" fontId="0" fillId="0" borderId="4" xfId="0" applyBorder="1"/>
    <xf numFmtId="0" fontId="0" fillId="0" borderId="5" xfId="0" applyBorder="1"/>
    <xf numFmtId="0" fontId="3" fillId="0" borderId="20" xfId="0" applyFont="1" applyBorder="1"/>
    <xf numFmtId="0" fontId="18" fillId="0" borderId="18" xfId="0" applyFont="1" applyBorder="1"/>
    <xf numFmtId="0" fontId="3" fillId="0" borderId="0" xfId="0" applyFont="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vertical="center"/>
    </xf>
    <xf numFmtId="0" fontId="28" fillId="11" borderId="4" xfId="0" applyFont="1" applyFill="1" applyBorder="1" applyProtection="1">
      <protection locked="0"/>
    </xf>
    <xf numFmtId="0" fontId="28" fillId="11" borderId="5" xfId="0" applyFont="1" applyFill="1" applyBorder="1" applyProtection="1">
      <protection locked="0"/>
    </xf>
    <xf numFmtId="1" fontId="18" fillId="0" borderId="5" xfId="2" applyNumberFormat="1" applyFont="1" applyFill="1" applyBorder="1" applyAlignment="1" applyProtection="1">
      <alignment horizontal="center" vertical="center"/>
    </xf>
    <xf numFmtId="0" fontId="21" fillId="0" borderId="69" xfId="0" applyFont="1" applyBorder="1" applyAlignment="1">
      <alignment horizontal="center" wrapText="1"/>
    </xf>
    <xf numFmtId="1" fontId="5" fillId="11" borderId="5" xfId="2" applyNumberFormat="1" applyFont="1" applyFill="1" applyBorder="1" applyAlignment="1" applyProtection="1">
      <alignment horizontal="center" vertical="center"/>
      <protection locked="0"/>
    </xf>
    <xf numFmtId="0" fontId="3" fillId="0" borderId="0" xfId="0" applyFont="1" applyAlignment="1">
      <alignment vertical="top" wrapText="1"/>
    </xf>
    <xf numFmtId="0" fontId="3" fillId="0" borderId="0" xfId="0" applyFont="1" applyAlignment="1">
      <alignment vertical="top"/>
    </xf>
    <xf numFmtId="168" fontId="18" fillId="0" borderId="5" xfId="2" applyNumberFormat="1" applyFont="1" applyFill="1" applyBorder="1" applyProtection="1"/>
    <xf numFmtId="0" fontId="21" fillId="0" borderId="20" xfId="0" applyFont="1" applyBorder="1"/>
    <xf numFmtId="0" fontId="0" fillId="0" borderId="0" xfId="0" applyAlignment="1">
      <alignment horizontal="center" vertical="top" wrapText="1"/>
    </xf>
    <xf numFmtId="0" fontId="21" fillId="0" borderId="0" xfId="0" applyFont="1" applyAlignment="1">
      <alignment horizontal="center" vertical="top" wrapText="1"/>
    </xf>
    <xf numFmtId="0" fontId="21" fillId="0" borderId="0" xfId="0" applyFont="1" applyAlignment="1">
      <alignment horizontal="center" vertical="top"/>
    </xf>
    <xf numFmtId="167" fontId="3" fillId="0" borderId="0" xfId="3" applyNumberFormat="1" applyFont="1" applyBorder="1" applyAlignment="1">
      <alignment vertical="top"/>
    </xf>
    <xf numFmtId="168" fontId="0" fillId="0" borderId="5" xfId="2" applyNumberFormat="1" applyFont="1" applyFill="1" applyBorder="1" applyProtection="1"/>
    <xf numFmtId="0" fontId="0" fillId="0" borderId="20" xfId="0" applyBorder="1"/>
    <xf numFmtId="9" fontId="18" fillId="11" borderId="5" xfId="0" applyNumberFormat="1" applyFont="1" applyFill="1" applyBorder="1" applyProtection="1">
      <protection locked="0"/>
    </xf>
    <xf numFmtId="0" fontId="29" fillId="0" borderId="0" xfId="0" applyFont="1"/>
    <xf numFmtId="0" fontId="21" fillId="0" borderId="0" xfId="0" applyFont="1" applyAlignment="1">
      <alignment vertical="top" wrapText="1"/>
    </xf>
    <xf numFmtId="0" fontId="21" fillId="0" borderId="0" xfId="0" applyFont="1" applyAlignment="1">
      <alignment vertical="top"/>
    </xf>
    <xf numFmtId="168" fontId="0" fillId="11" borderId="5" xfId="2" applyNumberFormat="1" applyFont="1" applyFill="1" applyBorder="1" applyProtection="1">
      <protection locked="0"/>
    </xf>
    <xf numFmtId="0" fontId="29" fillId="0" borderId="18" xfId="0" applyFont="1" applyBorder="1" applyAlignment="1">
      <alignment vertical="center"/>
    </xf>
    <xf numFmtId="0" fontId="31" fillId="0" borderId="0" xfId="0" applyFont="1"/>
    <xf numFmtId="0" fontId="18" fillId="11" borderId="5" xfId="0" applyFont="1" applyFill="1" applyBorder="1" applyProtection="1">
      <protection locked="0"/>
    </xf>
    <xf numFmtId="0" fontId="18" fillId="0" borderId="17" xfId="0" applyFont="1" applyBorder="1"/>
    <xf numFmtId="0" fontId="18" fillId="0" borderId="15" xfId="0" applyFont="1" applyBorder="1"/>
    <xf numFmtId="14" fontId="6" fillId="0" borderId="0" xfId="0" applyNumberFormat="1" applyFont="1"/>
    <xf numFmtId="0" fontId="32" fillId="0" borderId="0" xfId="0" applyFont="1"/>
    <xf numFmtId="0" fontId="33" fillId="0" borderId="76" xfId="1" applyFont="1" applyBorder="1" applyAlignment="1" applyProtection="1">
      <alignment horizontal="center"/>
    </xf>
    <xf numFmtId="0" fontId="0" fillId="0" borderId="0" xfId="4" applyFont="1"/>
    <xf numFmtId="0" fontId="8" fillId="13" borderId="76" xfId="1" applyFill="1" applyBorder="1" applyAlignment="1" applyProtection="1">
      <alignment horizontal="center"/>
    </xf>
    <xf numFmtId="0" fontId="8" fillId="14" borderId="0" xfId="1" applyFill="1" applyBorder="1" applyAlignment="1" applyProtection="1">
      <alignment horizontal="center"/>
    </xf>
    <xf numFmtId="0" fontId="8" fillId="13" borderId="76" xfId="1" applyFill="1" applyBorder="1" applyAlignment="1" applyProtection="1">
      <alignment horizontal="center" wrapText="1"/>
    </xf>
    <xf numFmtId="169" fontId="15" fillId="5" borderId="1" xfId="4" applyNumberFormat="1" applyFont="1" applyFill="1" applyBorder="1" applyAlignment="1">
      <alignment horizontal="center"/>
    </xf>
    <xf numFmtId="0" fontId="3" fillId="0" borderId="77" xfId="4" applyFont="1" applyBorder="1"/>
    <xf numFmtId="166" fontId="14" fillId="6" borderId="1" xfId="4" applyNumberFormat="1" applyFont="1" applyFill="1" applyBorder="1" applyAlignment="1">
      <alignment horizontal="center"/>
    </xf>
    <xf numFmtId="0" fontId="3" fillId="0" borderId="78" xfId="4" applyFont="1" applyBorder="1"/>
    <xf numFmtId="14" fontId="11" fillId="0" borderId="0" xfId="4" applyNumberFormat="1" applyAlignment="1">
      <alignment horizontal="left"/>
    </xf>
    <xf numFmtId="0" fontId="5" fillId="0" borderId="27" xfId="4" applyFont="1" applyBorder="1"/>
    <xf numFmtId="0" fontId="34" fillId="0" borderId="0" xfId="4" applyFont="1"/>
    <xf numFmtId="0" fontId="18" fillId="0" borderId="0" xfId="4" quotePrefix="1" applyFont="1" applyAlignment="1">
      <alignment horizontal="center"/>
    </xf>
    <xf numFmtId="0" fontId="18" fillId="0" borderId="0" xfId="4" applyFont="1"/>
    <xf numFmtId="0" fontId="0" fillId="0" borderId="0" xfId="4" applyFont="1" applyAlignment="1">
      <alignment horizontal="center" wrapText="1"/>
    </xf>
    <xf numFmtId="0" fontId="11" fillId="0" borderId="1" xfId="4" applyBorder="1"/>
    <xf numFmtId="0" fontId="0" fillId="0" borderId="0" xfId="4" applyFont="1" applyAlignment="1">
      <alignment horizontal="center"/>
    </xf>
    <xf numFmtId="0" fontId="0" fillId="0" borderId="1" xfId="4" applyFont="1" applyBorder="1" applyAlignment="1">
      <alignment horizontal="center"/>
    </xf>
    <xf numFmtId="0" fontId="11" fillId="15" borderId="2" xfId="4" applyFill="1" applyBorder="1"/>
    <xf numFmtId="0" fontId="0" fillId="2" borderId="32" xfId="0" applyFill="1" applyBorder="1"/>
    <xf numFmtId="0" fontId="0" fillId="0" borderId="70" xfId="0" applyBorder="1"/>
    <xf numFmtId="165" fontId="0" fillId="0" borderId="0" xfId="0" applyNumberFormat="1"/>
    <xf numFmtId="0" fontId="37" fillId="0" borderId="79" xfId="0" applyFont="1" applyBorder="1" applyAlignment="1">
      <alignment horizontal="center" vertical="center" wrapText="1"/>
    </xf>
    <xf numFmtId="0" fontId="11" fillId="0" borderId="25" xfId="4" applyBorder="1"/>
    <xf numFmtId="0" fontId="11" fillId="0" borderId="24" xfId="4" applyBorder="1"/>
    <xf numFmtId="0" fontId="11" fillId="0" borderId="26" xfId="4" applyBorder="1"/>
    <xf numFmtId="0" fontId="37" fillId="0" borderId="80" xfId="0" applyFont="1" applyBorder="1" applyAlignment="1">
      <alignment horizontal="center" vertical="center" wrapText="1"/>
    </xf>
    <xf numFmtId="0" fontId="37" fillId="0" borderId="81" xfId="0" applyFont="1" applyBorder="1" applyAlignment="1">
      <alignment horizontal="center" vertical="center" wrapText="1"/>
    </xf>
    <xf numFmtId="0" fontId="37" fillId="0" borderId="82" xfId="0" applyFont="1" applyBorder="1" applyAlignment="1">
      <alignment horizontal="center" vertical="center" wrapText="1"/>
    </xf>
    <xf numFmtId="0" fontId="37" fillId="0" borderId="84" xfId="0" applyFont="1" applyBorder="1" applyAlignment="1">
      <alignment horizontal="center" vertical="center" wrapText="1"/>
    </xf>
    <xf numFmtId="0" fontId="37" fillId="0" borderId="85" xfId="0" applyFont="1" applyBorder="1" applyAlignment="1">
      <alignment horizontal="center" vertical="center" wrapText="1"/>
    </xf>
    <xf numFmtId="0" fontId="37" fillId="0" borderId="86" xfId="0" applyFont="1" applyBorder="1" applyAlignment="1">
      <alignment horizontal="center" vertical="center" wrapText="1"/>
    </xf>
    <xf numFmtId="0" fontId="0" fillId="16" borderId="15" xfId="0" applyFill="1" applyBorder="1"/>
    <xf numFmtId="0" fontId="0" fillId="16" borderId="16" xfId="0" applyFill="1" applyBorder="1"/>
    <xf numFmtId="0" fontId="0" fillId="16" borderId="17" xfId="0" applyFill="1" applyBorder="1"/>
    <xf numFmtId="0" fontId="0" fillId="2" borderId="25" xfId="0" applyFill="1" applyBorder="1"/>
    <xf numFmtId="0" fontId="0" fillId="2" borderId="70" xfId="0" applyFill="1" applyBorder="1"/>
    <xf numFmtId="0" fontId="0" fillId="2" borderId="26" xfId="0" applyFill="1" applyBorder="1"/>
    <xf numFmtId="0" fontId="3" fillId="0" borderId="88" xfId="0" applyFont="1" applyBorder="1"/>
    <xf numFmtId="0" fontId="3" fillId="0" borderId="87" xfId="0" applyFont="1" applyBorder="1"/>
    <xf numFmtId="0" fontId="0" fillId="9" borderId="89" xfId="0" applyFill="1" applyBorder="1"/>
    <xf numFmtId="0" fontId="3" fillId="0" borderId="90" xfId="0" applyFont="1" applyBorder="1"/>
    <xf numFmtId="0" fontId="0" fillId="2" borderId="91" xfId="0" applyFill="1" applyBorder="1"/>
    <xf numFmtId="0" fontId="0" fillId="9" borderId="92" xfId="0" applyFill="1" applyBorder="1"/>
    <xf numFmtId="0" fontId="3" fillId="0" borderId="32" xfId="0" applyFont="1" applyBorder="1"/>
    <xf numFmtId="0" fontId="0" fillId="9" borderId="93" xfId="0" applyFill="1" applyBorder="1"/>
    <xf numFmtId="0" fontId="0" fillId="9" borderId="94" xfId="0" applyFill="1" applyBorder="1"/>
    <xf numFmtId="0" fontId="0" fillId="0" borderId="15" xfId="4" applyFont="1" applyBorder="1"/>
    <xf numFmtId="0" fontId="11" fillId="0" borderId="16" xfId="4" applyBorder="1"/>
    <xf numFmtId="0" fontId="0" fillId="0" borderId="56" xfId="4" applyFont="1" applyBorder="1" applyAlignment="1">
      <alignment horizontal="center" wrapText="1"/>
    </xf>
    <xf numFmtId="0" fontId="0" fillId="0" borderId="16" xfId="4" applyFont="1" applyBorder="1" applyAlignment="1">
      <alignment horizontal="center" wrapText="1"/>
    </xf>
    <xf numFmtId="0" fontId="0" fillId="0" borderId="17" xfId="4" applyFont="1" applyBorder="1"/>
    <xf numFmtId="0" fontId="0" fillId="0" borderId="18" xfId="4" applyFont="1" applyBorder="1"/>
    <xf numFmtId="0" fontId="11" fillId="15" borderId="42" xfId="4" applyFill="1" applyBorder="1"/>
    <xf numFmtId="0" fontId="0" fillId="0" borderId="20" xfId="4" applyFont="1" applyBorder="1" applyAlignment="1">
      <alignment horizontal="center"/>
    </xf>
    <xf numFmtId="0" fontId="11" fillId="0" borderId="42" xfId="4" applyBorder="1"/>
    <xf numFmtId="0" fontId="11" fillId="0" borderId="70" xfId="4" applyBorder="1"/>
    <xf numFmtId="0" fontId="3" fillId="0" borderId="5" xfId="0" applyFont="1" applyBorder="1"/>
    <xf numFmtId="0" fontId="0" fillId="9" borderId="32" xfId="0" applyFill="1" applyBorder="1"/>
    <xf numFmtId="0" fontId="0" fillId="9" borderId="32" xfId="0" applyFill="1" applyBorder="1" applyAlignment="1">
      <alignment horizontal="center"/>
    </xf>
    <xf numFmtId="0" fontId="9" fillId="9" borderId="1" xfId="4" applyFont="1" applyFill="1" applyBorder="1" applyAlignment="1" applyProtection="1">
      <alignment horizontal="center" wrapText="1"/>
      <protection locked="0"/>
    </xf>
    <xf numFmtId="0" fontId="37" fillId="0" borderId="95" xfId="0" applyFont="1" applyBorder="1" applyAlignment="1">
      <alignment horizontal="center" vertical="center" wrapText="1"/>
    </xf>
    <xf numFmtId="0" fontId="37" fillId="0" borderId="96" xfId="0" applyFont="1" applyBorder="1" applyAlignment="1">
      <alignment horizontal="center" vertical="center" wrapText="1"/>
    </xf>
    <xf numFmtId="165" fontId="0" fillId="17" borderId="97" xfId="0" applyNumberFormat="1" applyFill="1" applyBorder="1"/>
    <xf numFmtId="0" fontId="37" fillId="17" borderId="98" xfId="0" applyFont="1" applyFill="1" applyBorder="1" applyAlignment="1">
      <alignment horizontal="center" vertical="center" wrapText="1"/>
    </xf>
    <xf numFmtId="0" fontId="39" fillId="0" borderId="100" xfId="0" applyFont="1" applyBorder="1" applyAlignment="1">
      <alignment horizontal="center" vertical="center" wrapText="1"/>
    </xf>
    <xf numFmtId="0" fontId="39" fillId="0" borderId="101" xfId="0" applyFont="1" applyBorder="1" applyAlignment="1">
      <alignment horizontal="center" vertical="center" wrapText="1"/>
    </xf>
    <xf numFmtId="0" fontId="40" fillId="0" borderId="101" xfId="0" applyFont="1" applyBorder="1" applyAlignment="1">
      <alignment horizontal="center" vertical="center" wrapText="1"/>
    </xf>
    <xf numFmtId="0" fontId="39" fillId="0" borderId="102" xfId="0" applyFont="1" applyBorder="1" applyAlignment="1">
      <alignment horizontal="center" vertical="center" wrapText="1"/>
    </xf>
    <xf numFmtId="0" fontId="39" fillId="0" borderId="79" xfId="0" applyFont="1" applyBorder="1" applyAlignment="1">
      <alignment horizontal="center" vertical="center" wrapText="1"/>
    </xf>
    <xf numFmtId="0" fontId="40" fillId="0" borderId="79" xfId="0" applyFont="1" applyBorder="1" applyAlignment="1">
      <alignment horizontal="center" vertical="center" wrapText="1"/>
    </xf>
    <xf numFmtId="0" fontId="41" fillId="0" borderId="0" xfId="0" applyFont="1" applyAlignment="1">
      <alignment horizontal="left" vertical="center"/>
    </xf>
    <xf numFmtId="0" fontId="42" fillId="0" borderId="0" xfId="0" applyFont="1" applyAlignment="1">
      <alignment horizontal="left" vertical="center"/>
    </xf>
    <xf numFmtId="0" fontId="41" fillId="0" borderId="0" xfId="0" applyFont="1" applyAlignment="1">
      <alignment vertical="center"/>
    </xf>
    <xf numFmtId="164" fontId="43" fillId="0" borderId="103" xfId="0" applyNumberFormat="1" applyFont="1" applyBorder="1" applyAlignment="1">
      <alignment horizontal="right" vertical="top"/>
    </xf>
    <xf numFmtId="0" fontId="37" fillId="17" borderId="81" xfId="0" applyFont="1" applyFill="1" applyBorder="1" applyAlignment="1">
      <alignment horizontal="center" vertical="center" wrapText="1"/>
    </xf>
    <xf numFmtId="0" fontId="37" fillId="17" borderId="79" xfId="0" applyFont="1" applyFill="1" applyBorder="1" applyAlignment="1">
      <alignment horizontal="center" vertical="center" wrapText="1"/>
    </xf>
    <xf numFmtId="164" fontId="37" fillId="0" borderId="83" xfId="0" applyNumberFormat="1" applyFont="1" applyBorder="1" applyAlignment="1">
      <alignment horizontal="right" wrapText="1"/>
    </xf>
    <xf numFmtId="0" fontId="40" fillId="18" borderId="101" xfId="0" applyFont="1" applyFill="1" applyBorder="1" applyAlignment="1">
      <alignment horizontal="center" vertical="center" wrapText="1"/>
    </xf>
    <xf numFmtId="0" fontId="40" fillId="18" borderId="79" xfId="0" applyFont="1" applyFill="1" applyBorder="1" applyAlignment="1">
      <alignment horizontal="center" vertical="center" wrapText="1"/>
    </xf>
    <xf numFmtId="0" fontId="37" fillId="18" borderId="98" xfId="0" applyFont="1" applyFill="1" applyBorder="1" applyAlignment="1">
      <alignment horizontal="center" vertical="center" wrapText="1"/>
    </xf>
    <xf numFmtId="0" fontId="37" fillId="18" borderId="99" xfId="0" applyFont="1" applyFill="1" applyBorder="1" applyAlignment="1">
      <alignment horizontal="center" vertical="center" wrapText="1"/>
    </xf>
    <xf numFmtId="0" fontId="37" fillId="18" borderId="79" xfId="0" applyFont="1" applyFill="1" applyBorder="1" applyAlignment="1">
      <alignment horizontal="center" vertical="center" wrapText="1"/>
    </xf>
    <xf numFmtId="0" fontId="37" fillId="18" borderId="85" xfId="0" applyFont="1" applyFill="1" applyBorder="1" applyAlignment="1">
      <alignment horizontal="center" vertical="center" wrapText="1"/>
    </xf>
    <xf numFmtId="0" fontId="39" fillId="18" borderId="100" xfId="0" applyFont="1" applyFill="1" applyBorder="1" applyAlignment="1">
      <alignment horizontal="center" vertical="center" wrapText="1"/>
    </xf>
    <xf numFmtId="0" fontId="39" fillId="18" borderId="102" xfId="0" applyFont="1" applyFill="1" applyBorder="1" applyAlignment="1">
      <alignment horizontal="center" vertical="center" wrapText="1"/>
    </xf>
    <xf numFmtId="0" fontId="39" fillId="0" borderId="104" xfId="0" applyFont="1" applyBorder="1" applyAlignment="1">
      <alignment horizontal="center" vertical="center" wrapText="1"/>
    </xf>
    <xf numFmtId="0" fontId="39" fillId="0" borderId="84" xfId="0" applyFont="1" applyBorder="1" applyAlignment="1">
      <alignment horizontal="center" vertical="center" wrapText="1"/>
    </xf>
    <xf numFmtId="164" fontId="44" fillId="0" borderId="105" xfId="0" applyNumberFormat="1" applyFont="1" applyBorder="1" applyAlignment="1">
      <alignment horizontal="right" vertical="top"/>
    </xf>
    <xf numFmtId="164" fontId="45" fillId="0" borderId="107" xfId="0" applyNumberFormat="1" applyFont="1" applyBorder="1"/>
    <xf numFmtId="164" fontId="37" fillId="0" borderId="107" xfId="0" applyNumberFormat="1" applyFont="1" applyBorder="1" applyAlignment="1">
      <alignment horizontal="right" wrapText="1"/>
    </xf>
    <xf numFmtId="164" fontId="37" fillId="0" borderId="106" xfId="0" applyNumberFormat="1" applyFont="1" applyBorder="1" applyAlignment="1">
      <alignment horizontal="right" wrapText="1"/>
    </xf>
    <xf numFmtId="166" fontId="11" fillId="2" borderId="1" xfId="4" applyNumberFormat="1" applyFill="1" applyBorder="1"/>
    <xf numFmtId="166" fontId="11" fillId="9" borderId="1" xfId="4" applyNumberFormat="1" applyFill="1" applyBorder="1" applyProtection="1">
      <protection locked="0"/>
    </xf>
    <xf numFmtId="165" fontId="11" fillId="9" borderId="1" xfId="4" applyNumberFormat="1" applyFill="1" applyBorder="1" applyProtection="1">
      <protection locked="0"/>
    </xf>
    <xf numFmtId="0" fontId="16" fillId="0" borderId="21" xfId="4" applyFont="1" applyBorder="1" applyAlignment="1">
      <alignment horizontal="center" wrapText="1"/>
    </xf>
    <xf numFmtId="0" fontId="11" fillId="0" borderId="22" xfId="4" applyBorder="1" applyAlignment="1">
      <alignment horizontal="center" wrapText="1"/>
    </xf>
    <xf numFmtId="0" fontId="11" fillId="0" borderId="23" xfId="4" applyBorder="1" applyAlignment="1">
      <alignment horizontal="center" wrapText="1"/>
    </xf>
    <xf numFmtId="0" fontId="17" fillId="0" borderId="18" xfId="4" applyFont="1" applyBorder="1" applyAlignment="1">
      <alignment horizontal="center" vertical="top" wrapText="1"/>
    </xf>
    <xf numFmtId="0" fontId="11" fillId="0" borderId="0" xfId="4" applyAlignment="1">
      <alignment horizontal="center" vertical="top" wrapText="1"/>
    </xf>
    <xf numFmtId="0" fontId="11" fillId="0" borderId="20" xfId="4" applyBorder="1" applyAlignment="1">
      <alignment wrapText="1"/>
    </xf>
    <xf numFmtId="0" fontId="11" fillId="0" borderId="18" xfId="4" applyBorder="1" applyAlignment="1">
      <alignment horizontal="center" vertical="top" wrapText="1"/>
    </xf>
    <xf numFmtId="0" fontId="12" fillId="0" borderId="15" xfId="4" applyFont="1"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2"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center" wrapText="1"/>
    </xf>
    <xf numFmtId="0" fontId="0" fillId="0" borderId="14" xfId="0" applyBorder="1" applyAlignment="1">
      <alignment horizontal="center" wrapText="1"/>
    </xf>
    <xf numFmtId="0" fontId="0" fillId="7" borderId="5" xfId="0" applyFill="1" applyBorder="1" applyAlignment="1">
      <alignment horizontal="center" wrapText="1"/>
    </xf>
    <xf numFmtId="0" fontId="0" fillId="7" borderId="3" xfId="0" applyFill="1" applyBorder="1" applyAlignment="1">
      <alignment horizontal="center" wrapText="1"/>
    </xf>
    <xf numFmtId="0" fontId="0" fillId="7" borderId="4" xfId="0" applyFill="1" applyBorder="1" applyAlignment="1">
      <alignment horizontal="center" wrapText="1"/>
    </xf>
    <xf numFmtId="0" fontId="18" fillId="0" borderId="5" xfId="0" applyFont="1" applyBorder="1" applyAlignment="1">
      <alignment horizontal="center" wrapText="1"/>
    </xf>
    <xf numFmtId="0" fontId="18" fillId="0" borderId="3" xfId="0" applyFont="1" applyBorder="1" applyAlignment="1">
      <alignment horizontal="center" wrapText="1"/>
    </xf>
    <xf numFmtId="0" fontId="18" fillId="0" borderId="4" xfId="0" applyFont="1" applyBorder="1" applyAlignment="1">
      <alignment horizontal="center" wrapText="1"/>
    </xf>
    <xf numFmtId="0" fontId="3" fillId="0" borderId="5"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0" fillId="0" borderId="15" xfId="0" applyBorder="1" applyAlignment="1">
      <alignment horizontal="center" vertical="top" wrapText="1"/>
    </xf>
    <xf numFmtId="0" fontId="0" fillId="0" borderId="17" xfId="0" applyBorder="1" applyAlignment="1">
      <alignment horizontal="center" vertical="top" wrapText="1"/>
    </xf>
    <xf numFmtId="0" fontId="0" fillId="0" borderId="25" xfId="0" applyBorder="1" applyAlignment="1">
      <alignment horizontal="center" vertical="top" wrapText="1"/>
    </xf>
    <xf numFmtId="0" fontId="0" fillId="0" borderId="26" xfId="0" applyBorder="1" applyAlignment="1">
      <alignment horizontal="center" vertical="top" wrapText="1"/>
    </xf>
    <xf numFmtId="0" fontId="0" fillId="7" borderId="5" xfId="0" applyFill="1" applyBorder="1" applyAlignment="1">
      <alignment horizontal="center"/>
    </xf>
    <xf numFmtId="0" fontId="0" fillId="7" borderId="3" xfId="0" applyFill="1" applyBorder="1" applyAlignment="1">
      <alignment horizontal="center"/>
    </xf>
    <xf numFmtId="0" fontId="0" fillId="7" borderId="4" xfId="0" applyFill="1" applyBorder="1" applyAlignment="1">
      <alignment horizontal="center"/>
    </xf>
    <xf numFmtId="1" fontId="0" fillId="0" borderId="2" xfId="0" applyNumberFormat="1" applyBorder="1" applyAlignment="1">
      <alignment horizontal="center"/>
    </xf>
    <xf numFmtId="1" fontId="0" fillId="0" borderId="7" xfId="0" applyNumberFormat="1" applyBorder="1" applyAlignment="1">
      <alignment horizontal="center"/>
    </xf>
    <xf numFmtId="1" fontId="0" fillId="0" borderId="54" xfId="0" applyNumberFormat="1" applyBorder="1" applyAlignment="1">
      <alignment horizontal="center"/>
    </xf>
    <xf numFmtId="1" fontId="0" fillId="0" borderId="2" xfId="0" applyNumberFormat="1" applyBorder="1" applyAlignment="1" applyProtection="1">
      <alignment horizontal="center"/>
      <protection locked="0"/>
    </xf>
    <xf numFmtId="1" fontId="0" fillId="0" borderId="7" xfId="0" applyNumberFormat="1" applyBorder="1" applyAlignment="1" applyProtection="1">
      <alignment horizontal="center"/>
      <protection locked="0"/>
    </xf>
    <xf numFmtId="1" fontId="0" fillId="0" borderId="54" xfId="0" applyNumberFormat="1" applyBorder="1" applyAlignment="1" applyProtection="1">
      <alignment horizontal="center"/>
      <protection locked="0"/>
    </xf>
    <xf numFmtId="0" fontId="0" fillId="0" borderId="0" xfId="0" applyAlignment="1">
      <alignment horizontal="center" vertical="top" wrapText="1"/>
    </xf>
    <xf numFmtId="0" fontId="0" fillId="0" borderId="0" xfId="0" applyAlignment="1">
      <alignment horizontal="center" wrapText="1"/>
    </xf>
    <xf numFmtId="0" fontId="3" fillId="0" borderId="0" xfId="0" applyFont="1" applyAlignment="1">
      <alignment horizontal="center" vertical="center" wrapText="1"/>
    </xf>
    <xf numFmtId="2" fontId="10" fillId="0" borderId="50" xfId="1" applyNumberFormat="1" applyFont="1" applyBorder="1" applyAlignment="1" applyProtection="1">
      <alignment horizontal="center" vertical="top" wrapText="1"/>
    </xf>
    <xf numFmtId="2" fontId="10" fillId="0" borderId="71" xfId="1" applyNumberFormat="1" applyFont="1" applyBorder="1" applyAlignment="1" applyProtection="1">
      <alignment horizontal="center" vertical="top" wrapText="1"/>
    </xf>
    <xf numFmtId="2" fontId="10" fillId="0" borderId="69" xfId="1" applyNumberFormat="1" applyFont="1" applyBorder="1" applyAlignment="1" applyProtection="1">
      <alignment horizontal="center" vertical="top" wrapText="1"/>
    </xf>
    <xf numFmtId="0" fontId="0" fillId="0" borderId="5" xfId="0" applyBorder="1" applyAlignment="1">
      <alignment horizontal="center" vertical="top" wrapText="1"/>
    </xf>
    <xf numFmtId="0" fontId="0" fillId="0" borderId="4" xfId="0" applyBorder="1" applyAlignment="1">
      <alignment horizontal="center" vertical="top" wrapText="1"/>
    </xf>
    <xf numFmtId="0" fontId="21" fillId="0" borderId="50" xfId="0" applyFont="1" applyBorder="1" applyAlignment="1">
      <alignment horizontal="center" vertical="center" wrapText="1"/>
    </xf>
    <xf numFmtId="0" fontId="0" fillId="0" borderId="71" xfId="0" applyBorder="1"/>
    <xf numFmtId="0" fontId="0" fillId="0" borderId="69" xfId="0" applyBorder="1"/>
    <xf numFmtId="0" fontId="3" fillId="0" borderId="5"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0" fillId="0" borderId="15" xfId="0" applyBorder="1" applyAlignment="1">
      <alignment horizontal="center" wrapText="1"/>
    </xf>
    <xf numFmtId="0" fontId="0" fillId="0" borderId="16" xfId="0" applyBorder="1" applyAlignment="1">
      <alignment horizontal="center" wrapText="1"/>
    </xf>
    <xf numFmtId="0" fontId="0" fillId="0" borderId="17" xfId="0" applyBorder="1" applyAlignment="1">
      <alignment horizontal="center" wrapText="1"/>
    </xf>
    <xf numFmtId="0" fontId="0" fillId="0" borderId="18" xfId="0" applyBorder="1" applyAlignment="1">
      <alignment horizontal="center" wrapText="1"/>
    </xf>
    <xf numFmtId="0" fontId="0" fillId="0" borderId="20" xfId="0" applyBorder="1" applyAlignment="1">
      <alignment horizontal="center" wrapText="1"/>
    </xf>
    <xf numFmtId="0" fontId="0" fillId="0" borderId="25" xfId="0" applyBorder="1" applyAlignment="1">
      <alignment horizontal="center" wrapText="1"/>
    </xf>
    <xf numFmtId="0" fontId="0" fillId="0" borderId="70" xfId="0" applyBorder="1" applyAlignment="1">
      <alignment horizontal="center" wrapText="1"/>
    </xf>
    <xf numFmtId="0" fontId="0" fillId="0" borderId="26" xfId="0" applyBorder="1" applyAlignment="1">
      <alignment horizontal="center" wrapText="1"/>
    </xf>
    <xf numFmtId="0" fontId="38" fillId="0" borderId="25" xfId="0" applyFont="1" applyBorder="1"/>
    <xf numFmtId="0" fontId="38" fillId="0" borderId="70" xfId="0" applyFont="1" applyBorder="1"/>
  </cellXfs>
  <cellStyles count="5">
    <cellStyle name="Comma" xfId="2" builtinId="3"/>
    <cellStyle name="Hyperlink" xfId="1" builtinId="8"/>
    <cellStyle name="Normal" xfId="0" builtinId="0"/>
    <cellStyle name="Normal 2" xfId="4" xr:uid="{B6647D6E-F9C6-4A8D-BEEF-878153563159}"/>
    <cellStyle name="Percent" xfId="3" builtinId="5"/>
  </cellStyles>
  <dxfs count="5">
    <dxf>
      <alignment horizontal="center" vertical="bottom" textRotation="0" wrapText="0" relativeIndent="0" justifyLastLine="0" shrinkToFit="0" readingOrder="0"/>
    </dxf>
    <dxf>
      <border outline="0">
        <bottom style="thin">
          <color indexed="64"/>
        </bottom>
      </border>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s>
  <tableStyles count="0" defaultTableStyle="TableStyleMedium9" defaultPivotStyle="PivotStyleLight16"/>
  <colors>
    <mruColors>
      <color rgb="FF54545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600074</xdr:colOff>
      <xdr:row>1</xdr:row>
      <xdr:rowOff>171450</xdr:rowOff>
    </xdr:from>
    <xdr:to>
      <xdr:col>8</xdr:col>
      <xdr:colOff>552449</xdr:colOff>
      <xdr:row>13</xdr:row>
      <xdr:rowOff>9525</xdr:rowOff>
    </xdr:to>
    <xdr:sp macro="" textlink="">
      <xdr:nvSpPr>
        <xdr:cNvPr id="2" name="TextBox 1">
          <a:extLst>
            <a:ext uri="{FF2B5EF4-FFF2-40B4-BE49-F238E27FC236}">
              <a16:creationId xmlns:a16="http://schemas.microsoft.com/office/drawing/2014/main" id="{A422D27C-07DC-CED2-31CD-EE57AE872492}"/>
            </a:ext>
          </a:extLst>
        </xdr:cNvPr>
        <xdr:cNvSpPr txBox="1"/>
      </xdr:nvSpPr>
      <xdr:spPr>
        <a:xfrm>
          <a:off x="600074" y="361950"/>
          <a:ext cx="4829175" cy="2466975"/>
        </a:xfrm>
        <a:prstGeom prst="rect">
          <a:avLst/>
        </a:prstGeom>
        <a:solidFill>
          <a:schemeClr val="tx2">
            <a:lumMod val="20000"/>
            <a:lumOff val="80000"/>
          </a:schemeClr>
        </a:solidFill>
        <a:ln w="25400" cmpd="sng">
          <a:solidFill>
            <a:schemeClr val="tx1">
              <a:lumMod val="95000"/>
              <a:lumOff val="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400" b="1" baseline="0">
              <a:latin typeface="Calibri" panose="020F0502020204030204" pitchFamily="34" charset="0"/>
            </a:rPr>
            <a:t>FISH DISEASE CALCULATORS</a:t>
          </a:r>
        </a:p>
        <a:p>
          <a:r>
            <a:rPr lang="en-US" sz="1200" baseline="0">
              <a:latin typeface="Calibri" panose="020F0502020204030204" pitchFamily="34" charset="0"/>
            </a:rPr>
            <a:t>This Excel Workbook contains 4 calculators to assist hobbyists care for their fish.</a:t>
          </a:r>
        </a:p>
        <a:p>
          <a:pPr marL="171450" indent="-171450">
            <a:buFont typeface="Arial" panose="020B0604020202020204" pitchFamily="34" charset="0"/>
            <a:buChar char="•"/>
          </a:pPr>
          <a:r>
            <a:rPr lang="en-US" sz="1200" b="1" i="0" baseline="0">
              <a:latin typeface="Calibri" panose="020F0502020204030204" pitchFamily="34" charset="0"/>
            </a:rPr>
            <a:t>Salinity Calculations  </a:t>
          </a:r>
          <a:r>
            <a:rPr lang="en-US" sz="1200" baseline="0">
              <a:latin typeface="Calibri" panose="020F0502020204030204" pitchFamily="34" charset="0"/>
            </a:rPr>
            <a:t>to determine correct salt and water volumes to achieve desired salinity.</a:t>
          </a:r>
        </a:p>
        <a:p>
          <a:pPr marL="171450" indent="-171450">
            <a:buFont typeface="Arial" panose="020B0604020202020204" pitchFamily="34" charset="0"/>
            <a:buChar char="•"/>
          </a:pPr>
          <a:r>
            <a:rPr lang="en-US" sz="1200" b="1" baseline="0">
              <a:latin typeface="Calibri" panose="020F0502020204030204" pitchFamily="34" charset="0"/>
            </a:rPr>
            <a:t>Water Medication Calculations </a:t>
          </a:r>
          <a:r>
            <a:rPr lang="en-US" sz="1200" b="0" baseline="0">
              <a:latin typeface="Calibri" panose="020F0502020204030204" pitchFamily="34" charset="0"/>
            </a:rPr>
            <a:t>to determine the correct volume of soluble medication and water to achieve the desired concentration.</a:t>
          </a:r>
        </a:p>
        <a:p>
          <a:pPr marL="171450" indent="-171450">
            <a:buFont typeface="Arial" panose="020B0604020202020204" pitchFamily="34" charset="0"/>
            <a:buChar char="•"/>
          </a:pPr>
          <a:r>
            <a:rPr lang="en-US" sz="1200" b="1" baseline="0">
              <a:latin typeface="Calibri" panose="020F0502020204030204" pitchFamily="34" charset="0"/>
            </a:rPr>
            <a:t>Length - Weight Calculator </a:t>
          </a:r>
          <a:r>
            <a:rPr lang="en-US" sz="1200" b="0" baseline="0">
              <a:latin typeface="Calibri" panose="020F0502020204030204" pitchFamily="34" charset="0"/>
            </a:rPr>
            <a:t>to estimate the weight of fish based on stastical correlation of weight and length of fish for selected species.</a:t>
          </a:r>
        </a:p>
        <a:p>
          <a:pPr marL="171450" indent="-171450">
            <a:buFont typeface="Arial" panose="020B0604020202020204" pitchFamily="34" charset="0"/>
            <a:buChar char="•"/>
          </a:pPr>
          <a:r>
            <a:rPr lang="en-US" sz="1200" b="1" baseline="0">
              <a:latin typeface="Calibri" panose="020F0502020204030204" pitchFamily="34" charset="0"/>
            </a:rPr>
            <a:t> Medicated Food Calculator </a:t>
          </a:r>
          <a:r>
            <a:rPr lang="en-US" sz="1200" b="0" baseline="0">
              <a:latin typeface="Calibri" panose="020F0502020204030204" pitchFamily="34" charset="0"/>
            </a:rPr>
            <a:t>to determine the amount of food and medication necessary to achieve the correct dosage based on the estimated weight of the fish.</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38100</xdr:colOff>
      <xdr:row>1</xdr:row>
      <xdr:rowOff>28575</xdr:rowOff>
    </xdr:from>
    <xdr:to>
      <xdr:col>13</xdr:col>
      <xdr:colOff>561975</xdr:colOff>
      <xdr:row>30</xdr:row>
      <xdr:rowOff>133350</xdr:rowOff>
    </xdr:to>
    <xdr:sp macro="" textlink="">
      <xdr:nvSpPr>
        <xdr:cNvPr id="2" name="TextBox 1">
          <a:extLst>
            <a:ext uri="{FF2B5EF4-FFF2-40B4-BE49-F238E27FC236}">
              <a16:creationId xmlns:a16="http://schemas.microsoft.com/office/drawing/2014/main" id="{95DE02C0-28F6-49B9-8E11-97529A614F93}"/>
            </a:ext>
          </a:extLst>
        </xdr:cNvPr>
        <xdr:cNvSpPr txBox="1"/>
      </xdr:nvSpPr>
      <xdr:spPr>
        <a:xfrm>
          <a:off x="8010525" y="85725"/>
          <a:ext cx="2990850" cy="36480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Instructions:</a:t>
          </a:r>
        </a:p>
        <a:p>
          <a:r>
            <a:rPr lang="en-US" sz="1100"/>
            <a:t>   Green boxes</a:t>
          </a:r>
          <a:r>
            <a:rPr lang="en-US" sz="1100" baseline="0"/>
            <a:t> user input.</a:t>
          </a:r>
        </a:p>
        <a:p>
          <a:r>
            <a:rPr lang="en-US" sz="1100" baseline="0"/>
            <a:t>   Yellow / beige boxes calculated.</a:t>
          </a:r>
        </a:p>
        <a:p>
          <a:r>
            <a:rPr lang="en-US" sz="1100" b="1" baseline="0"/>
            <a:t>Specific Gravity / Salinity</a:t>
          </a:r>
          <a:r>
            <a:rPr lang="en-US" sz="1100" baseline="0"/>
            <a:t>:</a:t>
          </a:r>
        </a:p>
        <a:p>
          <a:r>
            <a:rPr lang="en-US" sz="1100" baseline="0"/>
            <a:t>   Specific Gravity values  and relationship to salinity determined by instruments and samples  calibrated at 25 degrees C / 77 degrees F.</a:t>
          </a:r>
        </a:p>
        <a:p>
          <a:pPr marL="0" marR="0" lvl="0" indent="0" defTabSz="914400" eaLnBrk="1" fontAlgn="auto" latinLnBrk="0" hangingPunct="1">
            <a:lnSpc>
              <a:spcPct val="100000"/>
            </a:lnSpc>
            <a:spcBef>
              <a:spcPts val="0"/>
            </a:spcBef>
            <a:spcAft>
              <a:spcPts val="0"/>
            </a:spcAft>
            <a:buClrTx/>
            <a:buSzTx/>
            <a:buFontTx/>
            <a:buNone/>
            <a:tabLst/>
            <a:defRPr/>
          </a:pPr>
          <a:r>
            <a:rPr lang="en-US" sz="1100" b="1" baseline="0">
              <a:solidFill>
                <a:schemeClr val="dk1"/>
              </a:solidFill>
              <a:effectLst/>
              <a:latin typeface="+mn-lt"/>
              <a:ea typeface="+mn-ea"/>
              <a:cs typeface="+mn-cs"/>
            </a:rPr>
            <a:t>Salt Mix Quantities Calculator:</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effectLst/>
              <a:latin typeface="+mn-lt"/>
              <a:ea typeface="+mn-ea"/>
              <a:cs typeface="+mn-cs"/>
            </a:rPr>
            <a:t>Manufacturer instructions assume the salt has just been opened. Anhydrous (dry) salt will absorb water over time when exposed to humid conditions. In those situations, the volume of salt specified by the instructions will not be adequate to achieve the desired salinity. The two-step process described will compensate for this issue.</a:t>
          </a:r>
          <a:endParaRPr lang="en-US" sz="11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baseline="0">
              <a:solidFill>
                <a:schemeClr val="dk1"/>
              </a:solidFill>
              <a:effectLst/>
              <a:latin typeface="+mn-lt"/>
              <a:ea typeface="+mn-ea"/>
              <a:cs typeface="+mn-cs"/>
            </a:rPr>
            <a:t>One Step Process:</a:t>
          </a:r>
          <a:endParaRPr lang="en-US">
            <a:effectLst/>
          </a:endParaRPr>
        </a:p>
        <a:p>
          <a:r>
            <a:rPr lang="en-US" sz="1100" b="1" baseline="0"/>
            <a:t>Reduce</a:t>
          </a:r>
          <a:r>
            <a:rPr lang="en-US" sz="1100" baseline="0"/>
            <a:t> tank salinity by replacing volume of tank water with RO/DI water.</a:t>
          </a:r>
        </a:p>
        <a:p>
          <a:r>
            <a:rPr lang="en-US" sz="1100" b="1" baseline="0"/>
            <a:t>Increase</a:t>
          </a:r>
          <a:r>
            <a:rPr lang="en-US" sz="1100" baseline="0"/>
            <a:t> tank salinity by mixing salt with either tank water or RO/DI water.</a:t>
          </a:r>
        </a:p>
        <a:p>
          <a:r>
            <a:rPr lang="en-US" sz="1100" baseline="0"/>
            <a:t>Option 1: Mix volume of tank water with salt</a:t>
          </a:r>
        </a:p>
        <a:p>
          <a:r>
            <a:rPr lang="en-US" sz="1100" baseline="0"/>
            <a:t>Option 2, 3: Mix volume of RO/DI with salt </a:t>
          </a:r>
          <a:r>
            <a:rPr lang="en-US" sz="1100"/>
            <a:t>  </a:t>
          </a:r>
        </a:p>
        <a:p>
          <a:r>
            <a:rPr lang="en-US" sz="1100"/>
            <a:t>   #1: Water/Salt mixture Salinity =  3 X target</a:t>
          </a:r>
        </a:p>
        <a:p>
          <a:r>
            <a:rPr lang="en-US" sz="1100"/>
            <a:t>   #2: Water/Salt</a:t>
          </a:r>
          <a:r>
            <a:rPr lang="en-US" sz="1100" baseline="0"/>
            <a:t> mixture Salinity =  3 X target</a:t>
          </a:r>
        </a:p>
        <a:p>
          <a:r>
            <a:rPr lang="en-US" sz="1100" baseline="0"/>
            <a:t>   #3: Water/Salt mixture Salinity =  2 X target</a:t>
          </a:r>
        </a:p>
        <a:p>
          <a:r>
            <a:rPr lang="en-US" sz="1100" b="1" baseline="0"/>
            <a:t>Two Step Process:</a:t>
          </a:r>
        </a:p>
        <a:p>
          <a:r>
            <a:rPr lang="en-US" sz="1100" b="0" baseline="0"/>
            <a:t>Adjusts for potential errors in estimate of Tank water volume. Reduced chance of mistakes.</a:t>
          </a:r>
        </a:p>
        <a:p>
          <a:endParaRPr lang="en-US" sz="1100" b="0" baseline="0"/>
        </a:p>
        <a:p>
          <a:endParaRPr lang="en-US" sz="1100" b="0"/>
        </a:p>
        <a:p>
          <a:endParaRPr lang="en-US" sz="1100"/>
        </a:p>
      </xdr:txBody>
    </xdr:sp>
    <xdr:clientData/>
  </xdr:twoCellAnchor>
  <xdr:twoCellAnchor>
    <xdr:from>
      <xdr:col>1</xdr:col>
      <xdr:colOff>247650</xdr:colOff>
      <xdr:row>5</xdr:row>
      <xdr:rowOff>114300</xdr:rowOff>
    </xdr:from>
    <xdr:to>
      <xdr:col>8</xdr:col>
      <xdr:colOff>2228850</xdr:colOff>
      <xdr:row>5</xdr:row>
      <xdr:rowOff>152400</xdr:rowOff>
    </xdr:to>
    <xdr:cxnSp macro="">
      <xdr:nvCxnSpPr>
        <xdr:cNvPr id="4" name="Straight Connector 3">
          <a:extLst>
            <a:ext uri="{FF2B5EF4-FFF2-40B4-BE49-F238E27FC236}">
              <a16:creationId xmlns:a16="http://schemas.microsoft.com/office/drawing/2014/main" id="{F04DE1AC-AF8F-EF93-8B7E-C7EAE2405EC0}"/>
            </a:ext>
          </a:extLst>
        </xdr:cNvPr>
        <xdr:cNvCxnSpPr/>
      </xdr:nvCxnSpPr>
      <xdr:spPr>
        <a:xfrm>
          <a:off x="495300" y="1466850"/>
          <a:ext cx="7077075" cy="38100"/>
        </a:xfrm>
        <a:prstGeom prst="line">
          <a:avLst/>
        </a:prstGeom>
        <a:ln w="25400">
          <a:solidFill>
            <a:schemeClr val="accent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34</xdr:row>
      <xdr:rowOff>142872</xdr:rowOff>
    </xdr:from>
    <xdr:to>
      <xdr:col>18</xdr:col>
      <xdr:colOff>733425</xdr:colOff>
      <xdr:row>43</xdr:row>
      <xdr:rowOff>123824</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47650" y="6686547"/>
          <a:ext cx="10525125" cy="1704977"/>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spcAft>
              <a:spcPts val="600"/>
            </a:spcAft>
          </a:pPr>
          <a:r>
            <a:rPr lang="en-US" b="1"/>
            <a:t>Data Sources:</a:t>
          </a:r>
        </a:p>
        <a:p>
          <a:pPr>
            <a:spcAft>
              <a:spcPts val="600"/>
            </a:spcAft>
          </a:pPr>
          <a:r>
            <a:rPr lang="en-US"/>
            <a:t>This model</a:t>
          </a:r>
          <a:r>
            <a:rPr lang="en-US" baseline="0"/>
            <a:t> requires statistical data  common to most fish population studies to perform the  calculations necessary to estimate fish weight based of fish length.  That data must be preloaded into the data table found on the"L-W-Table" worksheet.  </a:t>
          </a:r>
        </a:p>
        <a:p>
          <a:pPr>
            <a:spcAft>
              <a:spcPts val="600"/>
            </a:spcAft>
          </a:pPr>
          <a:r>
            <a:rPr lang="en-US"/>
            <a:t>The data</a:t>
          </a:r>
          <a:r>
            <a:rPr lang="en-US" baseline="0"/>
            <a:t> table provided with this caculator was sourced from the FishBase Global Information System.  Data from this or other sources may be added in the future as appropriate.</a:t>
          </a:r>
        </a:p>
        <a:p>
          <a:pPr marL="0" marR="0" indent="0" defTabSz="914400" eaLnBrk="1" fontAlgn="auto" latinLnBrk="0" hangingPunct="1">
            <a:lnSpc>
              <a:spcPct val="100000"/>
            </a:lnSpc>
            <a:spcBef>
              <a:spcPts val="0"/>
            </a:spcBef>
            <a:spcAft>
              <a:spcPts val="600"/>
            </a:spcAft>
            <a:buClrTx/>
            <a:buSzTx/>
            <a:buFontTx/>
            <a:buNone/>
            <a:tabLst/>
            <a:defRPr/>
          </a:pPr>
          <a:r>
            <a:rPr lang="en-US" sz="1100" b="0" i="0" baseline="0">
              <a:solidFill>
                <a:schemeClr val="dk1"/>
              </a:solidFill>
              <a:latin typeface="+mn-lt"/>
              <a:ea typeface="+mn-ea"/>
              <a:cs typeface="+mn-cs"/>
            </a:rPr>
            <a:t>Disclaimer: While the data and resulting </a:t>
          </a:r>
          <a:r>
            <a:rPr lang="en-US" sz="1100" b="1" i="1" baseline="0">
              <a:solidFill>
                <a:schemeClr val="dk1"/>
              </a:solidFill>
              <a:latin typeface="+mn-lt"/>
              <a:ea typeface="+mn-ea"/>
              <a:cs typeface="+mn-cs"/>
            </a:rPr>
            <a:t>a</a:t>
          </a:r>
          <a:r>
            <a:rPr lang="en-US" sz="1100" b="0" i="0" baseline="0">
              <a:solidFill>
                <a:schemeClr val="dk1"/>
              </a:solidFill>
              <a:latin typeface="+mn-lt"/>
              <a:ea typeface="+mn-ea"/>
              <a:cs typeface="+mn-cs"/>
            </a:rPr>
            <a:t> and</a:t>
          </a:r>
          <a:r>
            <a:rPr lang="en-US" sz="1100" b="1" i="1" baseline="0">
              <a:solidFill>
                <a:schemeClr val="dk1"/>
              </a:solidFill>
              <a:latin typeface="+mn-lt"/>
              <a:ea typeface="+mn-ea"/>
              <a:cs typeface="+mn-cs"/>
            </a:rPr>
            <a:t> b </a:t>
          </a:r>
          <a:r>
            <a:rPr lang="en-US" sz="1100" b="0" i="0" baseline="0">
              <a:solidFill>
                <a:schemeClr val="dk1"/>
              </a:solidFill>
              <a:latin typeface="+mn-lt"/>
              <a:ea typeface="+mn-ea"/>
              <a:cs typeface="+mn-cs"/>
            </a:rPr>
            <a:t>values are statistically reliable, results of the model  must be carefully reviewed to insure they are reasonable for the intended use. as with all living organiisms, two individuals of the same length within one species may have different body mass/weight.</a:t>
          </a:r>
          <a:endParaRPr lang="en-US"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600"/>
            </a:spcAft>
            <a:buClrTx/>
            <a:buSzTx/>
            <a:buFontTx/>
            <a:buNone/>
            <a:tabLst/>
            <a:defRPr/>
          </a:pPr>
          <a:r>
            <a:rPr lang="en-US" sz="1100" b="1" i="1">
              <a:solidFill>
                <a:schemeClr val="dk1"/>
              </a:solidFill>
              <a:latin typeface="+mn-lt"/>
              <a:ea typeface="+mn-ea"/>
              <a:cs typeface="+mn-cs"/>
            </a:rPr>
            <a:t>Data Version: 1 - 3/14/2021</a:t>
          </a:r>
          <a:endParaRPr lang="en-US"/>
        </a:p>
        <a:p>
          <a:pPr>
            <a:spcAft>
              <a:spcPts val="600"/>
            </a:spcAft>
          </a:pPr>
          <a:endParaRPr lang="en-US" baseline="0"/>
        </a:p>
        <a:p>
          <a:pPr>
            <a:spcAft>
              <a:spcPts val="600"/>
            </a:spcAft>
          </a:pPr>
          <a:endParaRPr lang="en-US" baseline="0"/>
        </a:p>
      </xdr:txBody>
    </xdr:sp>
    <xdr:clientData/>
  </xdr:twoCellAnchor>
  <xdr:twoCellAnchor>
    <xdr:from>
      <xdr:col>1</xdr:col>
      <xdr:colOff>9524</xdr:colOff>
      <xdr:row>2</xdr:row>
      <xdr:rowOff>85725</xdr:rowOff>
    </xdr:from>
    <xdr:to>
      <xdr:col>18</xdr:col>
      <xdr:colOff>742949</xdr:colOff>
      <xdr:row>12</xdr:row>
      <xdr:rowOff>123824</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61924" y="485775"/>
          <a:ext cx="10620375" cy="2057399"/>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latin typeface="+mn-lt"/>
              <a:ea typeface="+mn-ea"/>
              <a:cs typeface="+mn-cs"/>
            </a:rPr>
            <a:t>Accurate fish weight data can be used to estimate  daily quantities of  food and oral medications  for marine aquariium fish.</a:t>
          </a:r>
          <a:endParaRPr lang="en-US" sz="1200"/>
        </a:p>
        <a:p>
          <a:pPr>
            <a:spcAft>
              <a:spcPts val="600"/>
            </a:spcAft>
          </a:pPr>
          <a:r>
            <a:rPr lang="en-US" sz="1200"/>
            <a:t>This model estimates fish weight based on fish length by utilizing the</a:t>
          </a:r>
          <a:r>
            <a:rPr lang="en-US" sz="1200" baseline="0"/>
            <a:t> allometric growth equation </a:t>
          </a:r>
          <a:r>
            <a:rPr lang="en-US" sz="1200" b="1" i="1" baseline="0"/>
            <a:t>Weight = a * Length^b</a:t>
          </a:r>
          <a:r>
            <a:rPr lang="en-US" sz="1200" b="0" i="0" baseline="0"/>
            <a:t> commonly used in fisheries science.</a:t>
          </a:r>
        </a:p>
        <a:p>
          <a:pPr>
            <a:spcAft>
              <a:spcPts val="600"/>
            </a:spcAft>
          </a:pPr>
          <a:r>
            <a:rPr lang="en-US" sz="1200" baseline="0"/>
            <a:t>Length-weight relationships for many marine fish species have been developed by biologists using population surveys  performed over the past  forty years.  </a:t>
          </a:r>
          <a:r>
            <a:rPr lang="en-US" sz="1200" b="1" i="1" baseline="0"/>
            <a:t>a</a:t>
          </a:r>
          <a:r>
            <a:rPr lang="en-US" sz="1200" baseline="0"/>
            <a:t> and</a:t>
          </a:r>
          <a:r>
            <a:rPr lang="en-US" sz="1200" b="1" i="1" baseline="0"/>
            <a:t> b </a:t>
          </a:r>
          <a:r>
            <a:rPr lang="en-US" sz="1200" baseline="0"/>
            <a:t>values have been calculated from the data in those surveys and are used in this model.</a:t>
          </a:r>
        </a:p>
        <a:p>
          <a:pPr lvl="0">
            <a:spcAft>
              <a:spcPts val="600"/>
            </a:spcAft>
            <a:buFont typeface="Arial" pitchFamily="34" charset="0"/>
            <a:buChar char="•"/>
          </a:pPr>
          <a:r>
            <a:rPr lang="en-US" sz="1200" baseline="0"/>
            <a:t>Click on "Select Family" to access a drop down selection list of families for which data is available in the model.</a:t>
          </a:r>
        </a:p>
        <a:p>
          <a:pPr>
            <a:spcAft>
              <a:spcPts val="600"/>
            </a:spcAft>
            <a:buFont typeface="Arial" pitchFamily="34" charset="0"/>
            <a:buChar char="•"/>
          </a:pPr>
          <a:r>
            <a:rPr lang="en-US" sz="1200" baseline="0"/>
            <a:t>Click on "Select Common Name" to access a drop down selection list of species within the family for which data is available in the model.</a:t>
          </a:r>
        </a:p>
        <a:p>
          <a:pPr>
            <a:spcAft>
              <a:spcPts val="600"/>
            </a:spcAft>
            <a:buFont typeface="Arial" pitchFamily="34" charset="0"/>
            <a:buChar char="•"/>
          </a:pPr>
          <a:r>
            <a:rPr lang="en-US" sz="1200" baseline="0"/>
            <a:t>Enter fish length in either inches or centimeters.  (The formula assumes centimeters and will convert inches accordingly.) </a:t>
          </a:r>
        </a:p>
        <a:p>
          <a:pPr>
            <a:spcAft>
              <a:spcPts val="600"/>
            </a:spcAft>
            <a:buFont typeface="Arial" pitchFamily="34" charset="0"/>
            <a:buChar char="•"/>
          </a:pPr>
          <a:r>
            <a:rPr lang="en-US" sz="1200" baseline="0"/>
            <a:t>Enter the number of fish for the species and length you have entered on that row.</a:t>
          </a:r>
        </a:p>
        <a:p>
          <a:r>
            <a:rPr lang="en-US" sz="1100" baseline="0"/>
            <a:t> </a:t>
          </a:r>
          <a:endParaRPr lang="en-US" sz="1100"/>
        </a:p>
      </xdr:txBody>
    </xdr:sp>
    <xdr:clientData/>
  </xdr:twoCellAnchor>
  <xdr:twoCellAnchor>
    <xdr:from>
      <xdr:col>2</xdr:col>
      <xdr:colOff>1</xdr:colOff>
      <xdr:row>44</xdr:row>
      <xdr:rowOff>76200</xdr:rowOff>
    </xdr:from>
    <xdr:to>
      <xdr:col>18</xdr:col>
      <xdr:colOff>742951</xdr:colOff>
      <xdr:row>52</xdr:row>
      <xdr:rowOff>114299</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247651" y="8534400"/>
          <a:ext cx="10534650" cy="1562099"/>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spcAft>
              <a:spcPts val="600"/>
            </a:spcAft>
          </a:pPr>
          <a:r>
            <a:rPr lang="en-US" sz="1100" baseline="0">
              <a:solidFill>
                <a:schemeClr val="dk1"/>
              </a:solidFill>
              <a:latin typeface="+mn-lt"/>
              <a:ea typeface="+mn-ea"/>
              <a:cs typeface="+mn-cs"/>
            </a:rPr>
            <a:t>The </a:t>
          </a:r>
          <a:r>
            <a:rPr lang="en-US" sz="1100" b="1" baseline="0">
              <a:solidFill>
                <a:schemeClr val="dk1"/>
              </a:solidFill>
              <a:latin typeface="+mn-lt"/>
              <a:ea typeface="+mn-ea"/>
              <a:cs typeface="+mn-cs"/>
            </a:rPr>
            <a:t>FishBase Global Information System on Fishes </a:t>
          </a:r>
          <a:r>
            <a:rPr lang="en-US" sz="1100" baseline="0">
              <a:solidFill>
                <a:schemeClr val="dk1"/>
              </a:solidFill>
              <a:latin typeface="+mn-lt"/>
              <a:ea typeface="+mn-ea"/>
              <a:cs typeface="+mn-cs"/>
            </a:rPr>
            <a:t>houses data on over 33,000 species compiled from more than 52,000 references.</a:t>
          </a:r>
          <a:endParaRPr lang="en-US" sz="1100">
            <a:solidFill>
              <a:schemeClr val="dk1"/>
            </a:solidFill>
            <a:latin typeface="+mn-lt"/>
            <a:ea typeface="+mn-ea"/>
            <a:cs typeface="+mn-cs"/>
          </a:endParaRPr>
        </a:p>
        <a:p>
          <a:pPr>
            <a:spcAft>
              <a:spcPts val="600"/>
            </a:spcAft>
          </a:pPr>
          <a:r>
            <a:rPr lang="en-US" sz="1100" b="0" i="0" baseline="0">
              <a:solidFill>
                <a:schemeClr val="dk1"/>
              </a:solidFill>
              <a:latin typeface="+mn-lt"/>
              <a:ea typeface="+mn-ea"/>
              <a:cs typeface="+mn-cs"/>
            </a:rPr>
            <a:t>Data are available for some but not all species common to marine aquarium systems.  Some studies have provided the number of subjects collected while others only provide the</a:t>
          </a:r>
          <a:r>
            <a:rPr lang="en-US" sz="1100" b="1" i="1" baseline="0">
              <a:solidFill>
                <a:schemeClr val="dk1"/>
              </a:solidFill>
              <a:latin typeface="+mn-lt"/>
              <a:ea typeface="+mn-ea"/>
              <a:cs typeface="+mn-cs"/>
            </a:rPr>
            <a:t> </a:t>
          </a:r>
          <a:r>
            <a:rPr lang="en-US" sz="1100" b="0" i="0" baseline="0">
              <a:solidFill>
                <a:schemeClr val="dk1"/>
              </a:solidFill>
              <a:latin typeface="+mn-lt"/>
              <a:ea typeface="+mn-ea"/>
              <a:cs typeface="+mn-cs"/>
            </a:rPr>
            <a:t>values which were calculated for </a:t>
          </a:r>
          <a:r>
            <a:rPr lang="en-US" sz="1100" b="1" i="1" baseline="0">
              <a:solidFill>
                <a:schemeClr val="dk1"/>
              </a:solidFill>
              <a:latin typeface="+mn-lt"/>
              <a:ea typeface="+mn-ea"/>
              <a:cs typeface="+mn-cs"/>
            </a:rPr>
            <a:t>a </a:t>
          </a:r>
          <a:r>
            <a:rPr lang="en-US" sz="1100" b="0" i="0" baseline="0">
              <a:solidFill>
                <a:schemeClr val="dk1"/>
              </a:solidFill>
              <a:latin typeface="+mn-lt"/>
              <a:ea typeface="+mn-ea"/>
              <a:cs typeface="+mn-cs"/>
            </a:rPr>
            <a:t>and </a:t>
          </a:r>
          <a:r>
            <a:rPr lang="en-US" sz="1100" b="1" i="1" baseline="0">
              <a:solidFill>
                <a:schemeClr val="dk1"/>
              </a:solidFill>
              <a:latin typeface="+mn-lt"/>
              <a:ea typeface="+mn-ea"/>
              <a:cs typeface="+mn-cs"/>
            </a:rPr>
            <a:t>b </a:t>
          </a:r>
          <a:r>
            <a:rPr lang="en-US" sz="1100" b="0" i="0" baseline="0">
              <a:solidFill>
                <a:schemeClr val="dk1"/>
              </a:solidFill>
              <a:latin typeface="+mn-lt"/>
              <a:ea typeface="+mn-ea"/>
              <a:cs typeface="+mn-cs"/>
            </a:rPr>
            <a:t>.  Studies deemed unreliable for weight calculations by the FishBase team have been excluded .  Studies with relatively small samples (under 100) are included, but the  weight calculations resulting from their use should be carefully reviewed.</a:t>
          </a:r>
          <a:endParaRPr lang="en-US"/>
        </a:p>
        <a:p>
          <a:pPr>
            <a:spcAft>
              <a:spcPts val="600"/>
            </a:spcAft>
          </a:pPr>
          <a:r>
            <a:rPr lang="en-US" sz="1100" b="0" i="0" baseline="0">
              <a:solidFill>
                <a:schemeClr val="dk1"/>
              </a:solidFill>
              <a:latin typeface="+mn-lt"/>
              <a:ea typeface="+mn-ea"/>
              <a:cs typeface="+mn-cs"/>
            </a:rPr>
            <a:t>Data extracted from FishBase for each species can be viewed on the worksheet named "L-W-Table".  Additional species may be added as appropriate when irequired nformation is available. </a:t>
          </a:r>
        </a:p>
        <a:p>
          <a:pPr>
            <a:spcAft>
              <a:spcPts val="600"/>
            </a:spcAft>
          </a:pPr>
          <a:r>
            <a:rPr lang="en-US" sz="1100" b="0" i="0" baseline="0">
              <a:solidFill>
                <a:schemeClr val="dk1"/>
              </a:solidFill>
              <a:latin typeface="+mn-lt"/>
              <a:ea typeface="+mn-ea"/>
              <a:cs typeface="+mn-cs"/>
            </a:rPr>
            <a:t>Click link below to open the FishBase website.</a:t>
          </a:r>
        </a:p>
        <a:p>
          <a:pPr>
            <a:spcAft>
              <a:spcPts val="600"/>
            </a:spcAft>
          </a:pPr>
          <a:endParaRPr lang="en-US"/>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xdr:col>
      <xdr:colOff>6350</xdr:colOff>
      <xdr:row>56</xdr:row>
      <xdr:rowOff>43295</xdr:rowOff>
    </xdr:from>
    <xdr:ext cx="19667104" cy="2490356"/>
    <xdr:sp macro="" textlink="">
      <xdr:nvSpPr>
        <xdr:cNvPr id="2" name="TextBox 1">
          <a:extLst>
            <a:ext uri="{FF2B5EF4-FFF2-40B4-BE49-F238E27FC236}">
              <a16:creationId xmlns:a16="http://schemas.microsoft.com/office/drawing/2014/main" id="{337E195C-EB81-4B06-B439-6068EA2FC42F}"/>
            </a:ext>
          </a:extLst>
        </xdr:cNvPr>
        <xdr:cNvSpPr txBox="1"/>
      </xdr:nvSpPr>
      <xdr:spPr>
        <a:xfrm>
          <a:off x="615950" y="10520795"/>
          <a:ext cx="19667104" cy="2490356"/>
        </a:xfrm>
        <a:prstGeom prst="rect">
          <a:avLst/>
        </a:prstGeom>
        <a:noFill/>
        <a:ln w="38100">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400" b="1"/>
            <a:t>OVERVIEW:</a:t>
          </a:r>
        </a:p>
        <a:p>
          <a:pPr>
            <a:spcAft>
              <a:spcPts val="600"/>
            </a:spcAft>
          </a:pPr>
          <a:r>
            <a:rPr lang="en-US" sz="1200"/>
            <a:t>This calculator</a:t>
          </a:r>
          <a:r>
            <a:rPr lang="en-US" sz="1200" baseline="0"/>
            <a:t> is intended to supplement the information contained in the article "Proper Dosing of Medicated Foods"  by Jay Hemdal in 2020 and to provide techniques to apply  the methodology describe there..  Results of the model should   lways be reviewed for reasonableness  before use</a:t>
          </a:r>
        </a:p>
        <a:p>
          <a:pPr>
            <a:spcAft>
              <a:spcPts val="600"/>
            </a:spcAft>
          </a:pPr>
          <a:r>
            <a:rPr lang="en-US" sz="1200"/>
            <a:t>Medicated food is the only pratical way to administer medication internally to most marine aquarium fish.  To administer medication correctly, over or under dosing  must be avoided.</a:t>
          </a:r>
        </a:p>
        <a:p>
          <a:pPr>
            <a:spcAft>
              <a:spcPts val="600"/>
            </a:spcAft>
          </a:pPr>
          <a:r>
            <a:rPr lang="en-US" sz="1200"/>
            <a:t>The correct dosage  for most medications is directly proportional to the body weight of the infected fish.  That dosage must be bound to a food product in a way that  dilution/leeching from the food before it is eaten</a:t>
          </a:r>
          <a:r>
            <a:rPr lang="en-US" sz="1200" baseline="0"/>
            <a:t> is avoided.</a:t>
          </a:r>
          <a:r>
            <a:rPr lang="en-US" sz="1200"/>
            <a:t>  Additionally, the entire quantity of food containing the medication must be consumed to achieve the required dosage.</a:t>
          </a:r>
        </a:p>
        <a:p>
          <a:pPr>
            <a:spcAft>
              <a:spcPts val="600"/>
            </a:spcAft>
          </a:pPr>
          <a:r>
            <a:rPr lang="en-US" sz="1200"/>
            <a:t>A technique  to prepare medicated food is to combine the amount ofdry food (pellet or flake) normally consumed by the infected fish with the appropriate medication dosage and  liquid to make a thick paste which can be fed immediately or frozen  for later use.  Fresh food ( fish, shrimp, etc.) is also an option, assuming the liquid contained by the flesh does not prevent the medication from binding long enough to be consumed.  Some frozen food can be a challenge to medicate because of the high water content that</a:t>
          </a:r>
          <a:r>
            <a:rPr lang="en-US" sz="1200" baseline="0"/>
            <a:t> prevents  binding with the medication.</a:t>
          </a:r>
        </a:p>
        <a:p>
          <a:pPr>
            <a:spcAft>
              <a:spcPts val="600"/>
            </a:spcAft>
          </a:pPr>
          <a:r>
            <a:rPr lang="en-US" sz="1200"/>
            <a:t>The addition of water to dry food to form a paste complicates the process by changing  the quantity of food to which the medication must be bound,</a:t>
          </a:r>
          <a:r>
            <a:rPr lang="en-US" sz="1200" baseline="0"/>
            <a:t> or by changing the amount of food offered to  and eaten by the fish</a:t>
          </a:r>
          <a:r>
            <a:rPr lang="en-US" sz="1200"/>
            <a:t>.  </a:t>
          </a:r>
        </a:p>
        <a:p>
          <a:pPr lvl="1">
            <a:spcAft>
              <a:spcPts val="600"/>
            </a:spcAft>
          </a:pPr>
          <a:r>
            <a:rPr lang="en-US" sz="1200" b="0" baseline="0">
              <a:solidFill>
                <a:schemeClr val="tx1"/>
              </a:solidFill>
              <a:latin typeface="+mn-lt"/>
              <a:ea typeface="+mn-ea"/>
              <a:cs typeface="+mn-cs"/>
            </a:rPr>
            <a:t>Note: The amount of medication is so small that the amount of food and water does not to to be adjusted for its weight/mass.  Do not allow water to evaporate in either option before feeding. See Binder discussion.</a:t>
          </a:r>
        </a:p>
        <a:p>
          <a:pPr lvl="0">
            <a:spcAft>
              <a:spcPts val="600"/>
            </a:spcAft>
            <a:buFontTx/>
            <a:buNone/>
          </a:pPr>
          <a:r>
            <a:rPr lang="en-US" sz="1200"/>
            <a:t>Jay points out in his article that some medications may not be palatable to the fish (e.g. metronidazole). </a:t>
          </a:r>
          <a:r>
            <a:rPr lang="en-US" sz="1200" baseline="0"/>
            <a:t>Seachem GarlicGuard or a similar flavor additive can be substituted for the water required to make the paste to reduce the likelihood the medicated food will be rejected. </a:t>
          </a:r>
        </a:p>
      </xdr:txBody>
    </xdr:sp>
    <xdr:clientData/>
  </xdr:oneCellAnchor>
  <xdr:oneCellAnchor>
    <xdr:from>
      <xdr:col>18</xdr:col>
      <xdr:colOff>9526</xdr:colOff>
      <xdr:row>1</xdr:row>
      <xdr:rowOff>269876</xdr:rowOff>
    </xdr:from>
    <xdr:ext cx="2995180" cy="9255124"/>
    <xdr:sp macro="" textlink="">
      <xdr:nvSpPr>
        <xdr:cNvPr id="3" name="TextBox 2">
          <a:extLst>
            <a:ext uri="{FF2B5EF4-FFF2-40B4-BE49-F238E27FC236}">
              <a16:creationId xmlns:a16="http://schemas.microsoft.com/office/drawing/2014/main" id="{7CB54601-4ED4-43FA-BF1D-1CB60660007F}"/>
            </a:ext>
          </a:extLst>
        </xdr:cNvPr>
        <xdr:cNvSpPr txBox="1"/>
      </xdr:nvSpPr>
      <xdr:spPr>
        <a:xfrm>
          <a:off x="10982326" y="193676"/>
          <a:ext cx="2995180" cy="9255124"/>
        </a:xfrm>
        <a:prstGeom prst="rect">
          <a:avLst/>
        </a:prstGeom>
        <a:noFill/>
        <a:ln w="38100">
          <a:noFill/>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400" b="1"/>
            <a:t>INSTRUCTIONS:</a:t>
          </a:r>
        </a:p>
        <a:p>
          <a:pPr>
            <a:spcAft>
              <a:spcPts val="600"/>
            </a:spcAft>
          </a:pPr>
          <a:r>
            <a:rPr lang="en-US" sz="1400" b="1"/>
            <a:t>Variables Used by  the Model</a:t>
          </a:r>
          <a:r>
            <a:rPr lang="en-US" sz="1200"/>
            <a:t>:  </a:t>
          </a:r>
          <a:r>
            <a:rPr lang="en-US" sz="1400"/>
            <a:t>(Fields</a:t>
          </a:r>
          <a:r>
            <a:rPr lang="en-US" sz="1400" baseline="0"/>
            <a:t> shaded in sky blue either require entry or can be over-written.)</a:t>
          </a:r>
          <a:endParaRPr lang="en-US" sz="1400"/>
        </a:p>
        <a:p>
          <a:pPr marL="182880" lvl="1">
            <a:spcAft>
              <a:spcPts val="0"/>
            </a:spcAft>
            <a:buFont typeface="Arial" pitchFamily="34" charset="0"/>
            <a:buChar char="•"/>
          </a:pPr>
          <a:r>
            <a:rPr lang="en-US" sz="1400" b="1"/>
            <a:t> Estimated Fish Weight (in</a:t>
          </a:r>
          <a:r>
            <a:rPr lang="en-US" sz="1400" b="1" baseline="0"/>
            <a:t> Grams):</a:t>
          </a:r>
          <a:r>
            <a:rPr lang="en-US" sz="1800" b="1">
              <a:solidFill>
                <a:srgbClr val="FF0000"/>
              </a:solidFill>
            </a:rPr>
            <a:t>¹</a:t>
          </a:r>
          <a:r>
            <a:rPr lang="en-US" sz="1800" b="1" baseline="0">
              <a:solidFill>
                <a:srgbClr val="FF0000"/>
              </a:solidFill>
            </a:rPr>
            <a:t> </a:t>
          </a:r>
          <a:r>
            <a:rPr lang="en-US" sz="1400"/>
            <a:t>Determines quantity of medication required using </a:t>
          </a:r>
          <a:r>
            <a:rPr lang="en-US" sz="1400" b="1">
              <a:solidFill>
                <a:schemeClr val="tx1"/>
              </a:solidFill>
              <a:latin typeface="+mn-lt"/>
              <a:ea typeface="+mn-ea"/>
              <a:cs typeface="+mn-cs"/>
            </a:rPr>
            <a:t>Formulary</a:t>
          </a:r>
          <a:r>
            <a:rPr lang="en-US" sz="1400"/>
            <a:t>. May also be used to estimate</a:t>
          </a:r>
          <a:r>
            <a:rPr lang="en-US" sz="1400" baseline="0"/>
            <a:t> food quantity if not known.</a:t>
          </a:r>
          <a:endParaRPr lang="en-US" sz="1400"/>
        </a:p>
        <a:p>
          <a:pPr marL="182880" marR="0" lvl="1" indent="0" defTabSz="914400" eaLnBrk="1" fontAlgn="auto" latinLnBrk="0" hangingPunct="1">
            <a:lnSpc>
              <a:spcPct val="100000"/>
            </a:lnSpc>
            <a:spcBef>
              <a:spcPts val="0"/>
            </a:spcBef>
            <a:spcAft>
              <a:spcPts val="0"/>
            </a:spcAft>
            <a:buClrTx/>
            <a:buSzTx/>
            <a:buFont typeface="Arial" pitchFamily="34" charset="0"/>
            <a:buChar char="•"/>
            <a:tabLst/>
            <a:defRPr/>
          </a:pPr>
          <a:r>
            <a:rPr lang="en-US" sz="1400" b="1">
              <a:solidFill>
                <a:schemeClr val="tx1"/>
              </a:solidFill>
              <a:latin typeface="+mn-lt"/>
              <a:ea typeface="+mn-ea"/>
              <a:cs typeface="+mn-cs"/>
            </a:rPr>
            <a:t> Daily Food Amount if Known (in Grams):</a:t>
          </a:r>
          <a:r>
            <a:rPr lang="en-US" sz="1800" b="1">
              <a:solidFill>
                <a:srgbClr val="FF0000"/>
              </a:solidFill>
              <a:latin typeface="+mn-lt"/>
              <a:ea typeface="+mn-ea"/>
              <a:cs typeface="+mn-cs"/>
            </a:rPr>
            <a:t>² </a:t>
          </a:r>
          <a:r>
            <a:rPr lang="en-US" sz="1400">
              <a:solidFill>
                <a:schemeClr val="tx1"/>
              </a:solidFill>
              <a:latin typeface="+mn-lt"/>
              <a:ea typeface="+mn-ea"/>
              <a:cs typeface="+mn-cs"/>
            </a:rPr>
            <a:t>May be entered directly if known,or, if not known estimated by model  based on a % of fish weight.</a:t>
          </a:r>
        </a:p>
        <a:p>
          <a:pPr marL="182880" marR="0" lvl="1" indent="0" defTabSz="914400" eaLnBrk="1" fontAlgn="auto" latinLnBrk="0" hangingPunct="1">
            <a:lnSpc>
              <a:spcPct val="100000"/>
            </a:lnSpc>
            <a:spcBef>
              <a:spcPts val="0"/>
            </a:spcBef>
            <a:spcAft>
              <a:spcPts val="0"/>
            </a:spcAft>
            <a:buClrTx/>
            <a:buSzTx/>
            <a:buFont typeface="Arial" pitchFamily="34" charset="0"/>
            <a:buChar char="•"/>
            <a:tabLst/>
            <a:defRPr/>
          </a:pPr>
          <a:r>
            <a:rPr lang="en-US" sz="1400" b="1">
              <a:solidFill>
                <a:schemeClr val="tx1"/>
              </a:solidFill>
              <a:latin typeface="+mn-lt"/>
              <a:ea typeface="+mn-ea"/>
              <a:cs typeface="+mn-cs"/>
            </a:rPr>
            <a:t> OR- Daily Food  % of Fish Wt to Estimate Amount:</a:t>
          </a:r>
          <a:r>
            <a:rPr lang="en-US" sz="1400" b="0">
              <a:solidFill>
                <a:schemeClr val="tx1"/>
              </a:solidFill>
              <a:latin typeface="+mn-lt"/>
              <a:ea typeface="+mn-ea"/>
              <a:cs typeface="+mn-cs"/>
            </a:rPr>
            <a:t> The % entered here will calculate an</a:t>
          </a:r>
          <a:r>
            <a:rPr lang="en-US" sz="1400" b="0" baseline="0">
              <a:solidFill>
                <a:schemeClr val="tx1"/>
              </a:solidFill>
              <a:latin typeface="+mn-lt"/>
              <a:ea typeface="+mn-ea"/>
              <a:cs typeface="+mn-cs"/>
            </a:rPr>
            <a:t> estimate for Daily Food Amount if the actual amount is not known. Default value is 3%.</a:t>
          </a:r>
        </a:p>
        <a:p>
          <a:pPr marL="182880" marR="0" lvl="1" indent="0" defTabSz="914400" eaLnBrk="1" fontAlgn="auto" latinLnBrk="0" hangingPunct="1">
            <a:lnSpc>
              <a:spcPct val="100000"/>
            </a:lnSpc>
            <a:spcBef>
              <a:spcPts val="0"/>
            </a:spcBef>
            <a:spcAft>
              <a:spcPts val="0"/>
            </a:spcAft>
            <a:buClrTx/>
            <a:buSzTx/>
            <a:buFont typeface="Arial" pitchFamily="34" charset="0"/>
            <a:buChar char="•"/>
            <a:tabLst/>
            <a:defRPr/>
          </a:pPr>
          <a:r>
            <a:rPr lang="en-US" sz="1400" b="0" baseline="0">
              <a:solidFill>
                <a:schemeClr val="tx1"/>
              </a:solidFill>
              <a:latin typeface="+mn-lt"/>
              <a:ea typeface="+mn-ea"/>
              <a:cs typeface="+mn-cs"/>
            </a:rPr>
            <a:t> </a:t>
          </a:r>
          <a:r>
            <a:rPr lang="en-US" sz="1400" b="1" baseline="0">
              <a:solidFill>
                <a:schemeClr val="tx1"/>
              </a:solidFill>
              <a:latin typeface="+mn-lt"/>
              <a:ea typeface="+mn-ea"/>
              <a:cs typeface="+mn-cs"/>
            </a:rPr>
            <a:t>Daily Food Amount Estimated by Model: </a:t>
          </a:r>
          <a:r>
            <a:rPr lang="en-US" sz="1400" b="0" baseline="0">
              <a:solidFill>
                <a:schemeClr val="tx1"/>
              </a:solidFill>
              <a:latin typeface="+mn-lt"/>
              <a:ea typeface="+mn-ea"/>
              <a:cs typeface="+mn-cs"/>
            </a:rPr>
            <a:t>Model will calculate an estimate if the user does not enter a known value for Daily Food Amount.</a:t>
          </a:r>
        </a:p>
        <a:p>
          <a:pPr marL="182880" marR="0" lvl="1" indent="0" defTabSz="914400" eaLnBrk="1" fontAlgn="auto" latinLnBrk="0" hangingPunct="1">
            <a:lnSpc>
              <a:spcPct val="100000"/>
            </a:lnSpc>
            <a:spcBef>
              <a:spcPts val="0"/>
            </a:spcBef>
            <a:spcAft>
              <a:spcPts val="0"/>
            </a:spcAft>
            <a:buClrTx/>
            <a:buSzTx/>
            <a:buFont typeface="Arial" pitchFamily="34" charset="0"/>
            <a:buChar char="•"/>
            <a:tabLst/>
            <a:defRPr/>
          </a:pPr>
          <a:r>
            <a:rPr lang="en-US" sz="1400" b="1" baseline="0">
              <a:solidFill>
                <a:schemeClr val="tx1"/>
              </a:solidFill>
              <a:latin typeface="+mn-lt"/>
              <a:ea typeface="+mn-ea"/>
              <a:cs typeface="+mn-cs"/>
            </a:rPr>
            <a:t>Calculation Option</a:t>
          </a:r>
          <a:r>
            <a:rPr lang="en-US" sz="1400" b="0" baseline="0">
              <a:solidFill>
                <a:schemeClr val="tx1"/>
              </a:solidFill>
              <a:latin typeface="+mn-lt"/>
              <a:ea typeface="+mn-ea"/>
              <a:cs typeface="+mn-cs"/>
            </a:rPr>
            <a:t>:  </a:t>
          </a:r>
          <a:r>
            <a:rPr lang="en-US" sz="1400" b="1" baseline="0">
              <a:solidFill>
                <a:schemeClr val="tx1"/>
              </a:solidFill>
              <a:latin typeface="+mn-lt"/>
              <a:ea typeface="+mn-ea"/>
              <a:cs typeface="+mn-cs"/>
            </a:rPr>
            <a:t>Choose 1  if:  </a:t>
          </a:r>
          <a:r>
            <a:rPr lang="en-US" sz="1400" b="0" baseline="0">
              <a:solidFill>
                <a:schemeClr val="tx1"/>
              </a:solidFill>
              <a:latin typeface="+mn-lt"/>
              <a:ea typeface="+mn-ea"/>
              <a:cs typeface="+mn-cs"/>
            </a:rPr>
            <a:t>You do not want the total quantity of food by weight to change when water or binders are added to make food paste - reduces nutritional level - recommended for finicky eaters.</a:t>
          </a:r>
        </a:p>
        <a:p>
          <a:pPr marL="182880" marR="0" lvl="1" indent="0" defTabSz="914400" eaLnBrk="1" fontAlgn="auto" latinLnBrk="0" hangingPunct="1">
            <a:lnSpc>
              <a:spcPct val="100000"/>
            </a:lnSpc>
            <a:spcBef>
              <a:spcPts val="0"/>
            </a:spcBef>
            <a:spcAft>
              <a:spcPts val="0"/>
            </a:spcAft>
            <a:buClrTx/>
            <a:buSzTx/>
            <a:buFont typeface="Arial" pitchFamily="34" charset="0"/>
            <a:buChar char="•"/>
            <a:tabLst/>
            <a:defRPr/>
          </a:pPr>
          <a:r>
            <a:rPr lang="en-US" sz="1400" b="1" baseline="0">
              <a:solidFill>
                <a:schemeClr val="tx1"/>
              </a:solidFill>
              <a:latin typeface="+mn-lt"/>
              <a:ea typeface="+mn-ea"/>
              <a:cs typeface="+mn-cs"/>
            </a:rPr>
            <a:t>Calculation Option:  Choose 2  if:</a:t>
          </a:r>
          <a:r>
            <a:rPr lang="en-US" sz="1400" b="0" baseline="0">
              <a:solidFill>
                <a:schemeClr val="tx1"/>
              </a:solidFill>
              <a:latin typeface="+mn-lt"/>
              <a:ea typeface="+mn-ea"/>
              <a:cs typeface="+mn-cs"/>
            </a:rPr>
            <a:t>  You want the total quantity of food by weight to increase by the amount of water and binders added to make food paste - preserves nutritional level - recommended for voracious eaters. </a:t>
          </a:r>
        </a:p>
        <a:p>
          <a:pPr marL="182880" marR="0" lvl="1" indent="0" defTabSz="914400" eaLnBrk="1" fontAlgn="auto" latinLnBrk="0" hangingPunct="1">
            <a:lnSpc>
              <a:spcPct val="100000"/>
            </a:lnSpc>
            <a:spcBef>
              <a:spcPts val="0"/>
            </a:spcBef>
            <a:spcAft>
              <a:spcPts val="0"/>
            </a:spcAft>
            <a:buClrTx/>
            <a:buSzTx/>
            <a:buFont typeface="Arial" pitchFamily="34" charset="0"/>
            <a:buChar char="•"/>
            <a:tabLst/>
            <a:defRPr/>
          </a:pPr>
          <a:endParaRPr lang="en-US" sz="1400" b="1">
            <a:solidFill>
              <a:schemeClr val="tx1"/>
            </a:solidFill>
            <a:latin typeface="+mn-lt"/>
            <a:ea typeface="+mn-ea"/>
            <a:cs typeface="+mn-cs"/>
          </a:endParaRPr>
        </a:p>
        <a:p>
          <a:pPr>
            <a:spcAft>
              <a:spcPts val="600"/>
            </a:spcAft>
          </a:pPr>
          <a:endParaRPr lang="en-US" sz="1200" baseline="0"/>
        </a:p>
        <a:p>
          <a:pPr>
            <a:spcAft>
              <a:spcPts val="600"/>
            </a:spcAft>
          </a:pPr>
          <a:endParaRPr lang="en-US" sz="1200"/>
        </a:p>
      </xdr:txBody>
    </xdr:sp>
    <xdr:clientData/>
  </xdr:oneCellAnchor>
  <xdr:twoCellAnchor>
    <xdr:from>
      <xdr:col>13</xdr:col>
      <xdr:colOff>225137</xdr:colOff>
      <xdr:row>42</xdr:row>
      <xdr:rowOff>329048</xdr:rowOff>
    </xdr:from>
    <xdr:to>
      <xdr:col>21</xdr:col>
      <xdr:colOff>216478</xdr:colOff>
      <xdr:row>55</xdr:row>
      <xdr:rowOff>43296</xdr:rowOff>
    </xdr:to>
    <xdr:sp macro="" textlink="">
      <xdr:nvSpPr>
        <xdr:cNvPr id="4" name="TextBox 3">
          <a:extLst>
            <a:ext uri="{FF2B5EF4-FFF2-40B4-BE49-F238E27FC236}">
              <a16:creationId xmlns:a16="http://schemas.microsoft.com/office/drawing/2014/main" id="{F8E749E5-5668-4654-9E82-06BE891AD951}"/>
            </a:ext>
          </a:extLst>
        </xdr:cNvPr>
        <xdr:cNvSpPr txBox="1"/>
      </xdr:nvSpPr>
      <xdr:spPr>
        <a:xfrm>
          <a:off x="8149937" y="7996673"/>
          <a:ext cx="4868141" cy="2333623"/>
        </a:xfrm>
        <a:prstGeom prst="rect">
          <a:avLst/>
        </a:prstGeom>
        <a:solidFill>
          <a:schemeClr val="lt1"/>
        </a:solidFill>
        <a:ln w="3810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auto" latinLnBrk="0" hangingPunct="1"/>
          <a:r>
            <a:rPr lang="en-US" sz="1400" b="1">
              <a:solidFill>
                <a:schemeClr val="dk1"/>
              </a:solidFill>
              <a:latin typeface="+mn-lt"/>
              <a:ea typeface="+mn-ea"/>
              <a:cs typeface="+mn-cs"/>
            </a:rPr>
            <a:t>Chose Food Option:</a:t>
          </a:r>
          <a:r>
            <a:rPr lang="en-US" sz="1400" b="0">
              <a:solidFill>
                <a:schemeClr val="dk1"/>
              </a:solidFill>
              <a:latin typeface="+mn-lt"/>
              <a:ea typeface="+mn-ea"/>
              <a:cs typeface="+mn-cs"/>
            </a:rPr>
            <a:t> Model will use</a:t>
          </a:r>
          <a:r>
            <a:rPr lang="en-US" sz="1400" b="0" baseline="0">
              <a:solidFill>
                <a:schemeClr val="dk1"/>
              </a:solidFill>
              <a:latin typeface="+mn-lt"/>
              <a:ea typeface="+mn-ea"/>
              <a:cs typeface="+mn-cs"/>
            </a:rPr>
            <a:t> the information from the food Nutrition table to calculate the amount required to prepare the paste.</a:t>
          </a:r>
          <a:r>
            <a:rPr lang="en-US" sz="1400" b="1">
              <a:solidFill>
                <a:schemeClr val="dk1"/>
              </a:solidFill>
              <a:latin typeface="+mn-lt"/>
              <a:ea typeface="+mn-ea"/>
              <a:cs typeface="+mn-cs"/>
            </a:rPr>
            <a:t>  </a:t>
          </a:r>
          <a:r>
            <a:rPr lang="en-US" sz="1400" b="0">
              <a:solidFill>
                <a:schemeClr val="dk1"/>
              </a:solidFill>
              <a:latin typeface="+mn-lt"/>
              <a:ea typeface="+mn-ea"/>
              <a:cs typeface="+mn-cs"/>
            </a:rPr>
            <a:t>User may add</a:t>
          </a:r>
          <a:r>
            <a:rPr lang="en-US" sz="1400" b="0" baseline="0">
              <a:solidFill>
                <a:schemeClr val="dk1"/>
              </a:solidFill>
              <a:latin typeface="+mn-lt"/>
              <a:ea typeface="+mn-ea"/>
              <a:cs typeface="+mn-cs"/>
            </a:rPr>
            <a:t> additional food options for which values in table are known.</a:t>
          </a:r>
          <a:endParaRPr lang="en-US" sz="1400" b="0">
            <a:solidFill>
              <a:schemeClr val="dk1"/>
            </a:solidFill>
            <a:latin typeface="+mn-lt"/>
            <a:ea typeface="+mn-ea"/>
            <a:cs typeface="+mn-cs"/>
          </a:endParaRPr>
        </a:p>
        <a:p>
          <a:pPr eaLnBrk="1" fontAlgn="auto" latinLnBrk="0" hangingPunct="1"/>
          <a:r>
            <a:rPr lang="en-US" sz="1400" b="1">
              <a:solidFill>
                <a:schemeClr val="dk1"/>
              </a:solidFill>
              <a:latin typeface="+mn-lt"/>
              <a:ea typeface="+mn-ea"/>
              <a:cs typeface="+mn-cs"/>
            </a:rPr>
            <a:t>Daily Medication Dose </a:t>
          </a:r>
          <a:r>
            <a:rPr lang="en-US" sz="1800" b="1">
              <a:solidFill>
                <a:srgbClr val="FF0000"/>
              </a:solidFill>
              <a:latin typeface="+mn-lt"/>
              <a:ea typeface="+mn-ea"/>
              <a:cs typeface="+mn-cs"/>
            </a:rPr>
            <a:t>³</a:t>
          </a:r>
          <a:r>
            <a:rPr lang="en-US" sz="1400">
              <a:solidFill>
                <a:schemeClr val="dk1"/>
              </a:solidFill>
              <a:latin typeface="+mn-lt"/>
              <a:ea typeface="+mn-ea"/>
              <a:cs typeface="+mn-cs"/>
            </a:rPr>
            <a:t>: Calculated by model based on fish weight using  Dosage per Kg of Fish Weight in </a:t>
          </a:r>
          <a:r>
            <a:rPr lang="en-US" sz="1400" b="1">
              <a:solidFill>
                <a:schemeClr val="dk1"/>
              </a:solidFill>
              <a:latin typeface="+mn-lt"/>
              <a:ea typeface="+mn-ea"/>
              <a:cs typeface="+mn-cs"/>
            </a:rPr>
            <a:t>Formulary</a:t>
          </a:r>
          <a:r>
            <a:rPr lang="en-US" sz="1400">
              <a:solidFill>
                <a:schemeClr val="dk1"/>
              </a:solidFill>
              <a:latin typeface="+mn-lt"/>
              <a:ea typeface="+mn-ea"/>
              <a:cs typeface="+mn-cs"/>
            </a:rPr>
            <a:t> ( Jay Hemdal, "Proper Dosing of Medicated Foods", 2020 , R2R article).</a:t>
          </a:r>
          <a:endParaRPr lang="en-US" sz="1400"/>
        </a:p>
        <a:p>
          <a:r>
            <a:rPr lang="en-US" sz="1400" b="1">
              <a:solidFill>
                <a:schemeClr val="dk1"/>
              </a:solidFill>
              <a:latin typeface="+mn-lt"/>
              <a:ea typeface="+mn-ea"/>
              <a:cs typeface="+mn-cs"/>
            </a:rPr>
            <a:t>Total</a:t>
          </a:r>
          <a:r>
            <a:rPr lang="en-US" sz="1400" b="1" baseline="0">
              <a:solidFill>
                <a:schemeClr val="dk1"/>
              </a:solidFill>
              <a:latin typeface="+mn-lt"/>
              <a:ea typeface="+mn-ea"/>
              <a:cs typeface="+mn-cs"/>
            </a:rPr>
            <a:t> Days Medicated (# doses): </a:t>
          </a:r>
          <a:r>
            <a:rPr lang="en-US" sz="1400" b="0" baseline="0">
              <a:solidFill>
                <a:schemeClr val="dk1"/>
              </a:solidFill>
              <a:latin typeface="+mn-lt"/>
              <a:ea typeface="+mn-ea"/>
              <a:cs typeface="+mn-cs"/>
            </a:rPr>
            <a:t>Provided in </a:t>
          </a:r>
          <a:r>
            <a:rPr lang="en-US" sz="1400" b="1">
              <a:solidFill>
                <a:schemeClr val="dk1"/>
              </a:solidFill>
              <a:latin typeface="+mn-lt"/>
              <a:ea typeface="+mn-ea"/>
              <a:cs typeface="+mn-cs"/>
            </a:rPr>
            <a:t>Formulary</a:t>
          </a:r>
          <a:r>
            <a:rPr lang="en-US" sz="1400" b="0" baseline="0">
              <a:solidFill>
                <a:schemeClr val="dk1"/>
              </a:solidFill>
              <a:latin typeface="+mn-lt"/>
              <a:ea typeface="+mn-ea"/>
              <a:cs typeface="+mn-cs"/>
            </a:rPr>
            <a:t> .</a:t>
          </a:r>
          <a:endParaRPr lang="en-US" sz="1400">
            <a:solidFill>
              <a:schemeClr val="dk1"/>
            </a:solidFill>
            <a:latin typeface="+mn-lt"/>
            <a:ea typeface="+mn-ea"/>
            <a:cs typeface="+mn-cs"/>
          </a:endParaRPr>
        </a:p>
        <a:p>
          <a:r>
            <a:rPr lang="en-US" sz="1400" b="1">
              <a:solidFill>
                <a:schemeClr val="dk1"/>
              </a:solidFill>
              <a:latin typeface="+mn-lt"/>
              <a:ea typeface="+mn-ea"/>
              <a:cs typeface="+mn-cs"/>
            </a:rPr>
            <a:t>Liquid</a:t>
          </a:r>
          <a:r>
            <a:rPr lang="en-US" sz="1400" b="1" baseline="0">
              <a:solidFill>
                <a:schemeClr val="dk1"/>
              </a:solidFill>
              <a:latin typeface="+mn-lt"/>
              <a:ea typeface="+mn-ea"/>
              <a:cs typeface="+mn-cs"/>
            </a:rPr>
            <a:t> </a:t>
          </a:r>
          <a:r>
            <a:rPr lang="en-US" sz="1400" b="1">
              <a:solidFill>
                <a:schemeClr val="dk1"/>
              </a:solidFill>
              <a:latin typeface="+mn-lt"/>
              <a:ea typeface="+mn-ea"/>
              <a:cs typeface="+mn-cs"/>
            </a:rPr>
            <a:t>Needed</a:t>
          </a:r>
          <a:r>
            <a:rPr lang="en-US" sz="1400">
              <a:solidFill>
                <a:schemeClr val="dk1"/>
              </a:solidFill>
              <a:latin typeface="+mn-lt"/>
              <a:ea typeface="+mn-ea"/>
              <a:cs typeface="+mn-cs"/>
            </a:rPr>
            <a:t>: Calculated by the model based on type and amount of daily food needed to form a thick paste. The ratio to food may be adjusted by user if necessary.</a:t>
          </a:r>
          <a:endParaRPr lang="en-US" sz="1400"/>
        </a:p>
        <a:p>
          <a:endParaRPr lang="en-US" sz="1100"/>
        </a:p>
      </xdr:txBody>
    </xdr:sp>
    <xdr:clientData/>
  </xdr:twoCellAnchor>
  <xdr:twoCellAnchor>
    <xdr:from>
      <xdr:col>10</xdr:col>
      <xdr:colOff>8659</xdr:colOff>
      <xdr:row>22</xdr:row>
      <xdr:rowOff>138546</xdr:rowOff>
    </xdr:from>
    <xdr:to>
      <xdr:col>17</xdr:col>
      <xdr:colOff>0</xdr:colOff>
      <xdr:row>41</xdr:row>
      <xdr:rowOff>129887</xdr:rowOff>
    </xdr:to>
    <xdr:sp macro="" textlink="">
      <xdr:nvSpPr>
        <xdr:cNvPr id="5" name="TextBox 4">
          <a:extLst>
            <a:ext uri="{FF2B5EF4-FFF2-40B4-BE49-F238E27FC236}">
              <a16:creationId xmlns:a16="http://schemas.microsoft.com/office/drawing/2014/main" id="{47D133C6-D9DA-4A7B-B83A-23AE7C93AE3B}"/>
            </a:ext>
          </a:extLst>
        </xdr:cNvPr>
        <xdr:cNvSpPr txBox="1"/>
      </xdr:nvSpPr>
      <xdr:spPr>
        <a:xfrm>
          <a:off x="6104659" y="4139046"/>
          <a:ext cx="4258541" cy="3610841"/>
        </a:xfrm>
        <a:prstGeom prst="rect">
          <a:avLst/>
        </a:prstGeom>
        <a:solidFill>
          <a:schemeClr val="lt1"/>
        </a:solidFill>
        <a:ln w="38100" cmpd="dbl">
          <a:solidFill>
            <a:srgbClr val="00B05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400" b="1"/>
            <a:t>Binders and Other Additives:</a:t>
          </a:r>
        </a:p>
        <a:p>
          <a:pPr>
            <a:spcAft>
              <a:spcPts val="600"/>
            </a:spcAft>
          </a:pPr>
          <a:r>
            <a:rPr lang="en-US" sz="1200" b="0"/>
            <a:t>Two popular additives</a:t>
          </a:r>
          <a:r>
            <a:rPr lang="en-US" sz="1200" b="0" baseline="0"/>
            <a:t>  are used to help bind medications to dry food :</a:t>
          </a:r>
        </a:p>
        <a:p>
          <a:pPr>
            <a:spcAft>
              <a:spcPts val="600"/>
            </a:spcAft>
          </a:pPr>
          <a:r>
            <a:rPr lang="en-US" sz="1200" b="0" baseline="0"/>
            <a:t>Gelatin Powder: add to dry food and liquid in a ratio of 0.75% of liquid. (one 7 gram  packet per quart of liquid) After pulverizing the dry food, add medication and  gelatin powder and heat in a microwave to just below boiling of liquid.   Refrgerate to  congeal. Form  serving size balls.  Refrigerate or freeze.</a:t>
          </a:r>
        </a:p>
        <a:p>
          <a:pPr>
            <a:spcAft>
              <a:spcPts val="600"/>
            </a:spcAft>
          </a:pPr>
          <a:r>
            <a:rPr lang="en-US" sz="1200" b="0" baseline="0"/>
            <a:t>Seachem Focus: add  1 scoop (125mg) per 8 grams of dry food (ratio of 1.5%). Seachem instructions  on the bottle calls for a ratio of 1:1 volume of food and Focus.  This would substantially increase the weight of the resulting mix and would require food and liquid adjustments beyond  the results of this  calculator.  Proceed carefully with your measurements.</a:t>
          </a:r>
        </a:p>
        <a:p>
          <a:pPr>
            <a:spcAft>
              <a:spcPts val="600"/>
            </a:spcAft>
          </a:pPr>
          <a:r>
            <a:rPr lang="en-US" sz="1200" b="0" baseline="0"/>
            <a:t>Caution: If ratio of binder to liquid greater than recommended are used, dry food to liquid ratio may need to be adjusted from those on  the nutrition table.</a:t>
          </a:r>
        </a:p>
        <a:p>
          <a:pPr>
            <a:spcAft>
              <a:spcPts val="600"/>
            </a:spcAft>
          </a:pPr>
          <a:r>
            <a:rPr lang="en-US" sz="1200" b="1">
              <a:solidFill>
                <a:schemeClr val="dk1"/>
              </a:solidFill>
              <a:latin typeface="+mn-lt"/>
              <a:ea typeface="+mn-ea"/>
              <a:cs typeface="+mn-cs"/>
            </a:rPr>
            <a:t> IMPORTANT:</a:t>
          </a:r>
          <a:r>
            <a:rPr lang="en-US" sz="1200">
              <a:solidFill>
                <a:schemeClr val="dk1"/>
              </a:solidFill>
              <a:latin typeface="+mn-lt"/>
              <a:ea typeface="+mn-ea"/>
              <a:cs typeface="+mn-cs"/>
            </a:rPr>
            <a:t>Complete consumption of the medicated paste must occur quickly when introduced to the aquarium before it disintegrates into the water column, otherwise the fish may be under-dosed. Also, the paste should not be allowed to dry before it is fed or frozen to avoid under-dosing due to the possibility the medication may lose its adhesion to the food.</a:t>
          </a:r>
        </a:p>
        <a:p>
          <a:pPr>
            <a:spcAft>
              <a:spcPts val="600"/>
            </a:spcAft>
          </a:pPr>
          <a:r>
            <a:rPr lang="en-US" sz="1200" b="0" baseline="0"/>
            <a:t>Garlic Guard or other Flavor additives may be substituted for water. These  additives have been shown to make some medications more palatable.</a:t>
          </a:r>
          <a:endParaRPr lang="en-US" sz="1200" b="0"/>
        </a:p>
      </xdr:txBody>
    </xdr:sp>
    <xdr:clientData/>
  </xdr:twoCellAnchor>
  <xdr:oneCellAnchor>
    <xdr:from>
      <xdr:col>1</xdr:col>
      <xdr:colOff>8659</xdr:colOff>
      <xdr:row>70</xdr:row>
      <xdr:rowOff>95250</xdr:rowOff>
    </xdr:from>
    <xdr:ext cx="19682113" cy="609600"/>
    <xdr:sp macro="" textlink="">
      <xdr:nvSpPr>
        <xdr:cNvPr id="6" name="TextBox 5">
          <a:extLst>
            <a:ext uri="{FF2B5EF4-FFF2-40B4-BE49-F238E27FC236}">
              <a16:creationId xmlns:a16="http://schemas.microsoft.com/office/drawing/2014/main" id="{9ABF4816-65C9-41C9-875A-23A60A9399D2}"/>
            </a:ext>
          </a:extLst>
        </xdr:cNvPr>
        <xdr:cNvSpPr txBox="1"/>
      </xdr:nvSpPr>
      <xdr:spPr>
        <a:xfrm>
          <a:off x="618259" y="13239750"/>
          <a:ext cx="19682113" cy="60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a:t>Disclaimer: Because we cannot see your aquarium, and since aquarium fish health issues are so complex, please understand that the information we provide, while as accurate as we can make it, may not resolve the issue for you. Judging the fitness of our advice for your specific application is wholly your responsibility.</a:t>
          </a:r>
          <a:br>
            <a:rPr lang="en-US"/>
          </a:br>
          <a:r>
            <a:rPr lang="en-US"/>
            <a:t>Any advice provided is for informational purposes only and does not constitute medical advice. The use of and access to this web site is not intended to create a veterinarian/patient relationship between you and the author(s).</a:t>
          </a:r>
          <a:br>
            <a:rPr lang="en-US"/>
          </a:br>
          <a:r>
            <a:rPr lang="en-US"/>
            <a:t>Medication dosages are given as examples only. Follow all product labeling and keep all medications out of the reach of children.</a:t>
          </a:r>
          <a:endParaRPr lang="en-US" sz="1100"/>
        </a:p>
      </xdr:txBody>
    </xdr:sp>
    <xdr:clientData/>
  </xdr:one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81AE17E-B145-460C-B7E0-96F809B544A0}" name="Table13" displayName="Table13" ref="C59:C61" totalsRowShown="0" headerRowDxfId="4" dataDxfId="3">
  <autoFilter ref="C59:C61" xr:uid="{7F303E9D-8777-4C4C-AE7A-A0196792DFDC}"/>
  <tableColumns count="1">
    <tableColumn id="1" xr3:uid="{40B68587-94D9-4CD7-934A-029107AE2794}" name="System"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I36" totalsRowShown="0" headerRowBorderDxfId="1">
  <autoFilter ref="A1:I36" xr:uid="{00000000-0009-0000-0100-000001000000}"/>
  <tableColumns count="9">
    <tableColumn id="1" xr3:uid="{00000000-0010-0000-0000-000001000000}" name="FishID"/>
    <tableColumn id="2" xr3:uid="{00000000-0010-0000-0000-000002000000}" name="Family"/>
    <tableColumn id="3" xr3:uid="{00000000-0010-0000-0000-000003000000}" name="Genus"/>
    <tableColumn id="4" xr3:uid="{00000000-0010-0000-0000-000004000000}" name="Species"/>
    <tableColumn id="5" xr3:uid="{00000000-0010-0000-0000-000005000000}" name="Common"/>
    <tableColumn id="6" xr3:uid="{00000000-0010-0000-0000-000006000000}" name="Sample"/>
    <tableColumn id="7" xr3:uid="{00000000-0010-0000-0000-000007000000}" name="Vala"/>
    <tableColumn id="8" xr3:uid="{00000000-0010-0000-0000-000008000000}" name="Valb"/>
    <tableColumn id="9" xr3:uid="{00000000-0010-0000-0000-000009000000}" name="Tail" dataDxfId="0"/>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www.fishbase.us/search.php"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D594A-1246-4BAF-AA72-095D9CA8385D}">
  <sheetPr codeName="Sheet1"/>
  <dimension ref="J5:J13"/>
  <sheetViews>
    <sheetView showGridLines="0" showRowColHeaders="0" tabSelected="1" workbookViewId="0">
      <selection activeCell="C1" sqref="C1"/>
    </sheetView>
  </sheetViews>
  <sheetFormatPr defaultRowHeight="15" x14ac:dyDescent="0.25"/>
  <cols>
    <col min="10" max="10" width="19.42578125" customWidth="1"/>
  </cols>
  <sheetData>
    <row r="5" spans="10:10" ht="15.75" thickBot="1" x14ac:dyDescent="0.3"/>
    <row r="6" spans="10:10" ht="20.25" thickTop="1" thickBot="1" x14ac:dyDescent="0.35">
      <c r="J6" s="282" t="s">
        <v>284</v>
      </c>
    </row>
    <row r="7" spans="10:10" ht="16.5" thickTop="1" thickBot="1" x14ac:dyDescent="0.3"/>
    <row r="8" spans="10:10" ht="20.25" thickTop="1" thickBot="1" x14ac:dyDescent="0.35">
      <c r="J8" s="282" t="s">
        <v>286</v>
      </c>
    </row>
    <row r="9" spans="10:10" ht="16.5" thickTop="1" thickBot="1" x14ac:dyDescent="0.3"/>
    <row r="10" spans="10:10" ht="20.25" thickTop="1" thickBot="1" x14ac:dyDescent="0.35">
      <c r="J10" s="282" t="s">
        <v>285</v>
      </c>
    </row>
    <row r="11" spans="10:10" ht="16.5" thickTop="1" thickBot="1" x14ac:dyDescent="0.3"/>
    <row r="12" spans="10:10" ht="20.25" thickTop="1" thickBot="1" x14ac:dyDescent="0.35">
      <c r="J12" s="282" t="s">
        <v>287</v>
      </c>
    </row>
    <row r="13" spans="10:10" ht="15.75" thickTop="1" x14ac:dyDescent="0.25"/>
  </sheetData>
  <sheetProtection algorithmName="SHA-512" hashValue="PKKX9ePggzyaXybm2zwXe7FjbxqYs6LsP/8/bDxoy3Rdj+Y9UJsVeYktHPGpJUfaY/hDnZ1iBWjmMr2aZLA7Vg==" saltValue="1DGKHnxo2aAjt7U+c9B4zQ==" spinCount="100000" sheet="1" objects="1" scenarios="1"/>
  <hyperlinks>
    <hyperlink ref="J6" location="'Salinity Calculations'!A1" display="Salinity" xr:uid="{29E72A09-5F0E-4B17-99ED-7BF9F82207B2}"/>
    <hyperlink ref="J8" location="'Water Medication Calculations'!A1" display="Water / Med" xr:uid="{BEC5B38D-B557-4A78-A775-2B6416AFDC63}"/>
    <hyperlink ref="J10" location="'Length weight calculator'!A1" display="L/W" xr:uid="{0E9FE9AE-3971-4F3D-AFA9-403E083BB295}"/>
    <hyperlink ref="J12" location="'Medicated Food Calculator'!A1" display="Food / Med" xr:uid="{63ABB2B4-2D09-45C5-9360-6A8415F58769}"/>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0A1FA-F597-42A0-9BE6-B082343D66E5}">
  <sheetPr codeName="Sheet2">
    <pageSetUpPr fitToPage="1"/>
  </sheetPr>
  <dimension ref="B1:S80"/>
  <sheetViews>
    <sheetView showGridLines="0" showRowColHeaders="0" zoomScale="90" zoomScaleNormal="90" workbookViewId="0">
      <selection activeCell="F16" sqref="F16"/>
    </sheetView>
  </sheetViews>
  <sheetFormatPr defaultRowHeight="15" x14ac:dyDescent="0.25"/>
  <cols>
    <col min="1" max="1" width="3.7109375" style="32" customWidth="1"/>
    <col min="2" max="2" width="4.28515625" style="32" customWidth="1"/>
    <col min="3" max="4" width="5" style="32" customWidth="1"/>
    <col min="5" max="5" width="39.5703125" style="32" customWidth="1"/>
    <col min="6" max="6" width="10.28515625" style="32" bestFit="1" customWidth="1"/>
    <col min="7" max="7" width="4.7109375" style="32" customWidth="1"/>
    <col min="8" max="8" width="7.5703125" style="32" customWidth="1"/>
    <col min="9" max="9" width="39.42578125" style="32" customWidth="1"/>
    <col min="10" max="10" width="9.140625" style="32"/>
    <col min="11" max="11" width="9.5703125" style="32" customWidth="1"/>
    <col min="12" max="16384" width="9.140625" style="32"/>
  </cols>
  <sheetData>
    <row r="1" spans="2:14" ht="5.0999999999999996" customHeight="1" thickBot="1" x14ac:dyDescent="0.3"/>
    <row r="2" spans="2:14" ht="22.5" thickTop="1" thickBot="1" x14ac:dyDescent="0.4">
      <c r="B2" s="292" t="s">
        <v>150</v>
      </c>
      <c r="C2" s="55"/>
      <c r="D2" s="55"/>
      <c r="E2" s="55"/>
      <c r="F2" s="55"/>
      <c r="G2" s="55"/>
      <c r="H2" s="55"/>
      <c r="I2" s="284" t="s">
        <v>290</v>
      </c>
      <c r="J2" s="55"/>
      <c r="K2" s="55"/>
      <c r="L2" s="55"/>
      <c r="M2" s="55"/>
      <c r="N2" s="56"/>
    </row>
    <row r="3" spans="2:14" ht="23.25" thickTop="1" x14ac:dyDescent="0.3">
      <c r="B3" s="68"/>
      <c r="C3" s="271" t="s">
        <v>302</v>
      </c>
      <c r="N3" s="59"/>
    </row>
    <row r="4" spans="2:14" ht="18.75" x14ac:dyDescent="0.3">
      <c r="B4" s="68"/>
      <c r="D4" s="293"/>
      <c r="E4" s="58" t="s">
        <v>305</v>
      </c>
      <c r="F4" s="375">
        <v>0</v>
      </c>
      <c r="G4" s="294" t="s">
        <v>292</v>
      </c>
      <c r="H4" s="67" t="e">
        <f>'Salinity Table'!V4</f>
        <v>#N/A</v>
      </c>
      <c r="I4" s="58" t="s">
        <v>284</v>
      </c>
      <c r="N4" s="59"/>
    </row>
    <row r="5" spans="2:14" ht="18.75" x14ac:dyDescent="0.3">
      <c r="B5" s="68"/>
      <c r="E5" s="58" t="s">
        <v>299</v>
      </c>
      <c r="F5" s="376">
        <v>0</v>
      </c>
      <c r="G5" s="294" t="s">
        <v>292</v>
      </c>
      <c r="H5" s="374" t="e">
        <f>'Salinity Table'!S3</f>
        <v>#N/A</v>
      </c>
      <c r="I5" s="58" t="s">
        <v>300</v>
      </c>
      <c r="N5" s="59"/>
    </row>
    <row r="6" spans="2:14" ht="18.75" x14ac:dyDescent="0.3">
      <c r="B6" s="68"/>
      <c r="N6" s="59"/>
    </row>
    <row r="7" spans="2:14" ht="18.75" x14ac:dyDescent="0.3">
      <c r="B7" s="68"/>
      <c r="C7" s="295" t="s">
        <v>301</v>
      </c>
      <c r="N7" s="59"/>
    </row>
    <row r="8" spans="2:14" x14ac:dyDescent="0.25">
      <c r="B8" s="57"/>
      <c r="E8" s="58" t="s">
        <v>333</v>
      </c>
      <c r="F8" s="342" t="s">
        <v>288</v>
      </c>
      <c r="N8" s="59"/>
    </row>
    <row r="9" spans="2:14" ht="5.0999999999999996" customHeight="1" x14ac:dyDescent="0.25">
      <c r="B9" s="57"/>
      <c r="N9" s="59"/>
    </row>
    <row r="10" spans="2:14" ht="15" customHeight="1" x14ac:dyDescent="0.25">
      <c r="B10" s="57"/>
      <c r="E10" s="283" t="s">
        <v>334</v>
      </c>
      <c r="F10" s="60">
        <v>35</v>
      </c>
      <c r="H10" s="32" t="s">
        <v>151</v>
      </c>
      <c r="N10" s="59"/>
    </row>
    <row r="11" spans="2:14" ht="5.0999999999999996" customHeight="1" x14ac:dyDescent="0.25">
      <c r="B11" s="57"/>
      <c r="N11" s="59"/>
    </row>
    <row r="12" spans="2:14" x14ac:dyDescent="0.25">
      <c r="B12" s="57"/>
      <c r="E12" s="283" t="s">
        <v>335</v>
      </c>
      <c r="F12" s="60">
        <v>0</v>
      </c>
      <c r="H12" s="32" t="s">
        <v>151</v>
      </c>
      <c r="N12" s="59"/>
    </row>
    <row r="13" spans="2:14" ht="5.0999999999999996" customHeight="1" x14ac:dyDescent="0.25">
      <c r="B13" s="57"/>
      <c r="N13" s="59"/>
    </row>
    <row r="14" spans="2:14" x14ac:dyDescent="0.25">
      <c r="B14" s="57"/>
      <c r="E14" s="283" t="s">
        <v>336</v>
      </c>
      <c r="F14" s="60">
        <v>0</v>
      </c>
      <c r="H14" s="32" t="str">
        <f>IF(C57="I","Gallons","Liters")</f>
        <v>Gallons</v>
      </c>
      <c r="N14" s="59"/>
    </row>
    <row r="15" spans="2:14" ht="5.0999999999999996" customHeight="1" thickBot="1" x14ac:dyDescent="0.3">
      <c r="B15" s="57"/>
      <c r="N15" s="59"/>
    </row>
    <row r="16" spans="2:14" ht="15.75" thickBot="1" x14ac:dyDescent="0.3">
      <c r="B16" s="57"/>
      <c r="D16" s="61" t="s">
        <v>303</v>
      </c>
      <c r="E16" s="62"/>
      <c r="F16" s="63">
        <v>0</v>
      </c>
      <c r="G16" s="61"/>
      <c r="H16" s="64" t="str">
        <f>IF($C$57="I","Ounces per Gallon  per Mfg. Instructions", "Grams per Liter  per Mfg. Instructions")</f>
        <v>Ounces per Gallon  per Mfg. Instructions</v>
      </c>
      <c r="I16" s="65"/>
      <c r="N16" s="59"/>
    </row>
    <row r="17" spans="2:14" ht="5.0999999999999996" customHeight="1" x14ac:dyDescent="0.25">
      <c r="B17" s="57"/>
      <c r="N17" s="59"/>
    </row>
    <row r="18" spans="2:14" x14ac:dyDescent="0.25">
      <c r="B18" s="57"/>
      <c r="E18" s="32" t="s">
        <v>152</v>
      </c>
      <c r="F18" s="66">
        <f>IF($F$10=0,,$F$16*($F$12/$F$10-1))</f>
        <v>0</v>
      </c>
      <c r="H18" s="39" t="str">
        <f>IF(C57="I","Ounces per gallon over / (under) Target","Grams per Liter over/(under) Target")</f>
        <v>Ounces per gallon over / (under) Target</v>
      </c>
      <c r="N18" s="59"/>
    </row>
    <row r="19" spans="2:14" ht="5.0999999999999996" customHeight="1" x14ac:dyDescent="0.25">
      <c r="B19" s="57"/>
      <c r="N19" s="59"/>
    </row>
    <row r="20" spans="2:14" x14ac:dyDescent="0.25">
      <c r="B20" s="57"/>
      <c r="E20" s="39" t="s">
        <v>153</v>
      </c>
      <c r="F20" s="67">
        <f>F18*F14</f>
        <v>0</v>
      </c>
      <c r="H20" s="39" t="str">
        <f>IF(C57="I","Total Salt Ounces over / (under) Target","Total Salt Grams over/(under) Target")</f>
        <v>Total Salt Ounces over / (under) Target</v>
      </c>
      <c r="N20" s="59"/>
    </row>
    <row r="21" spans="2:14" ht="5.0999999999999996" customHeight="1" x14ac:dyDescent="0.25">
      <c r="B21" s="57"/>
      <c r="N21" s="59"/>
    </row>
    <row r="22" spans="2:14" ht="18.75" x14ac:dyDescent="0.3">
      <c r="B22" s="68"/>
      <c r="C22" s="295" t="s">
        <v>304</v>
      </c>
      <c r="N22" s="59"/>
    </row>
    <row r="23" spans="2:14" ht="5.0999999999999996" customHeight="1" x14ac:dyDescent="0.25">
      <c r="B23" s="57"/>
      <c r="N23" s="59"/>
    </row>
    <row r="24" spans="2:14" x14ac:dyDescent="0.25">
      <c r="B24" s="57"/>
      <c r="C24" s="58" t="s">
        <v>154</v>
      </c>
      <c r="D24" s="58"/>
      <c r="I24" s="283"/>
      <c r="N24" s="59"/>
    </row>
    <row r="25" spans="2:14" x14ac:dyDescent="0.25">
      <c r="B25" s="57"/>
      <c r="D25" s="39" t="s">
        <v>155</v>
      </c>
      <c r="F25" s="66">
        <f>IF(F18&gt;0,F20/F16,0)</f>
        <v>0</v>
      </c>
      <c r="H25" s="32" t="str">
        <f>IF($C$57="I","Gallons","Liters")</f>
        <v>Gallons</v>
      </c>
      <c r="I25" s="39" t="s">
        <v>156</v>
      </c>
      <c r="N25" s="59"/>
    </row>
    <row r="26" spans="2:14" x14ac:dyDescent="0.25">
      <c r="B26" s="57"/>
      <c r="D26" s="58" t="s">
        <v>157</v>
      </c>
      <c r="F26" s="69"/>
      <c r="I26" s="39"/>
      <c r="N26" s="59"/>
    </row>
    <row r="27" spans="2:14" x14ac:dyDescent="0.25">
      <c r="B27" s="57"/>
      <c r="D27" s="39"/>
      <c r="E27" s="39" t="s">
        <v>158</v>
      </c>
      <c r="F27" s="66">
        <f>F25/2</f>
        <v>0</v>
      </c>
      <c r="H27" s="32" t="str">
        <f>IF($C$57="I","Gallons","Liters")</f>
        <v>Gallons</v>
      </c>
      <c r="I27" s="39" t="s">
        <v>156</v>
      </c>
      <c r="N27" s="59"/>
    </row>
    <row r="28" spans="2:14" x14ac:dyDescent="0.25">
      <c r="B28" s="57"/>
      <c r="D28" s="39"/>
      <c r="E28" s="39" t="s">
        <v>339</v>
      </c>
      <c r="F28" s="60"/>
      <c r="H28" s="32" t="s">
        <v>151</v>
      </c>
      <c r="I28" s="39"/>
      <c r="N28" s="59"/>
    </row>
    <row r="29" spans="2:14" x14ac:dyDescent="0.25">
      <c r="B29" s="57"/>
      <c r="D29" s="39"/>
      <c r="E29" s="39" t="s">
        <v>159</v>
      </c>
      <c r="F29" s="66">
        <f>IF($F$18&gt;0,($F$28/$F$10-1),0)*F14</f>
        <v>0</v>
      </c>
      <c r="H29" s="32" t="str">
        <f>IF($C$57="I","Gallons","Liters")</f>
        <v>Gallons</v>
      </c>
      <c r="I29" s="39" t="s">
        <v>156</v>
      </c>
      <c r="N29" s="59"/>
    </row>
    <row r="30" spans="2:14" ht="5.0999999999999996" customHeight="1" x14ac:dyDescent="0.25">
      <c r="B30" s="57"/>
      <c r="N30" s="59"/>
    </row>
    <row r="31" spans="2:14" x14ac:dyDescent="0.25">
      <c r="B31" s="57"/>
      <c r="C31" s="58" t="s">
        <v>160</v>
      </c>
      <c r="D31" s="58"/>
      <c r="N31" s="59"/>
    </row>
    <row r="32" spans="2:14" x14ac:dyDescent="0.25">
      <c r="B32" s="57"/>
      <c r="D32" s="39" t="s">
        <v>161</v>
      </c>
      <c r="F32" s="66">
        <f>IF($F$20&lt;0,-($F$20/($F$16*2)),0)</f>
        <v>0</v>
      </c>
      <c r="G32" s="39"/>
      <c r="H32" s="32" t="str">
        <f>IF($C$57="I","Gallons","Liters")</f>
        <v>Gallons</v>
      </c>
      <c r="I32" s="32" t="s">
        <v>162</v>
      </c>
      <c r="J32" s="66">
        <f>IF($F$20&lt;0,-$F$20,0)</f>
        <v>0</v>
      </c>
      <c r="K32" s="32" t="str">
        <f>IF($C$57="I","Ounces", "Grams")</f>
        <v>Ounces</v>
      </c>
      <c r="L32" s="39" t="s">
        <v>163</v>
      </c>
      <c r="N32" s="70"/>
    </row>
    <row r="33" spans="2:14" ht="5.0999999999999996" customHeight="1" x14ac:dyDescent="0.25">
      <c r="B33" s="57"/>
      <c r="N33" s="59"/>
    </row>
    <row r="34" spans="2:14" x14ac:dyDescent="0.25">
      <c r="B34" s="57"/>
      <c r="D34" s="39" t="s">
        <v>164</v>
      </c>
      <c r="F34" s="66">
        <f>IF($F$20&lt;0,-($F$20/($F$16*2)),0)</f>
        <v>0</v>
      </c>
      <c r="G34" s="39"/>
      <c r="H34" s="32" t="str">
        <f>IF($C$57="I","Gallons","Liters")</f>
        <v>Gallons</v>
      </c>
      <c r="I34" s="39" t="s">
        <v>165</v>
      </c>
      <c r="J34" s="66">
        <f>IF($F$20&lt;0,-$F$20,0)+(F34*F16)</f>
        <v>0</v>
      </c>
      <c r="K34" s="32" t="str">
        <f>IF($C$57="I","Ounces", "Grams")</f>
        <v>Ounces</v>
      </c>
      <c r="L34" s="39" t="s">
        <v>166</v>
      </c>
      <c r="N34" s="70"/>
    </row>
    <row r="35" spans="2:14" ht="5.0999999999999996" customHeight="1" x14ac:dyDescent="0.25">
      <c r="B35" s="57"/>
      <c r="N35" s="59"/>
    </row>
    <row r="36" spans="2:14" x14ac:dyDescent="0.25">
      <c r="B36" s="57"/>
      <c r="D36" s="39" t="s">
        <v>167</v>
      </c>
      <c r="F36" s="66">
        <f>IF($F$20&lt;0,-($F$20/($F$16*2)),0)*2</f>
        <v>0</v>
      </c>
      <c r="G36" s="39"/>
      <c r="H36" s="32" t="str">
        <f>IF($C$57="I","Gallons","Liters")</f>
        <v>Gallons</v>
      </c>
      <c r="I36" s="39" t="s">
        <v>165</v>
      </c>
      <c r="J36" s="66">
        <f>IF($F$20&lt;0,-$F$20,0)+(F36*F16)</f>
        <v>0</v>
      </c>
      <c r="K36" s="32" t="str">
        <f>IF($C$57="I","Ounces", "Grams")</f>
        <v>Ounces</v>
      </c>
      <c r="L36" s="39" t="s">
        <v>166</v>
      </c>
      <c r="M36" s="69"/>
      <c r="N36" s="70"/>
    </row>
    <row r="37" spans="2:14" ht="5.0999999999999996" customHeight="1" x14ac:dyDescent="0.25">
      <c r="B37" s="57"/>
      <c r="N37" s="59"/>
    </row>
    <row r="38" spans="2:14" x14ac:dyDescent="0.25">
      <c r="B38" s="57"/>
      <c r="D38" s="58" t="s">
        <v>168</v>
      </c>
      <c r="N38" s="59"/>
    </row>
    <row r="39" spans="2:14" x14ac:dyDescent="0.25">
      <c r="B39" s="57"/>
      <c r="D39" s="39" t="s">
        <v>169</v>
      </c>
      <c r="N39" s="59"/>
    </row>
    <row r="40" spans="2:14" x14ac:dyDescent="0.25">
      <c r="B40" s="57"/>
      <c r="D40" s="39"/>
      <c r="E40" s="39" t="s">
        <v>170</v>
      </c>
      <c r="F40" s="71">
        <f>F32/2</f>
        <v>0</v>
      </c>
      <c r="H40" s="32" t="str">
        <f>IF($C$57="I","Gallons","Liters")</f>
        <v>Gallons</v>
      </c>
      <c r="I40" s="39" t="s">
        <v>162</v>
      </c>
      <c r="J40" s="71">
        <f>J32/2</f>
        <v>0</v>
      </c>
      <c r="K40" s="32" t="str">
        <f>IF($C$57="I","Ounces", "Grams")</f>
        <v>Ounces</v>
      </c>
      <c r="L40" s="39" t="s">
        <v>163</v>
      </c>
      <c r="N40" s="59"/>
    </row>
    <row r="41" spans="2:14" x14ac:dyDescent="0.25">
      <c r="B41" s="57"/>
      <c r="E41" s="39" t="s">
        <v>330</v>
      </c>
      <c r="F41" s="60">
        <v>25</v>
      </c>
      <c r="H41" s="32" t="s">
        <v>151</v>
      </c>
      <c r="N41" s="59"/>
    </row>
    <row r="42" spans="2:14" x14ac:dyDescent="0.25">
      <c r="B42" s="57"/>
      <c r="E42" s="39" t="s">
        <v>171</v>
      </c>
      <c r="F42" s="72">
        <f>IF($F$20&lt;0,-($F$20/($F$16*2)),0)</f>
        <v>0</v>
      </c>
      <c r="H42" s="32" t="str">
        <f>IF($C$57="I","Gallons","Liters")</f>
        <v>Gallons</v>
      </c>
      <c r="I42" s="32" t="s">
        <v>162</v>
      </c>
      <c r="J42" s="72">
        <f>-IF($F$10=0,,($F$16*($F$41/$F$10-1))*F14)</f>
        <v>0</v>
      </c>
      <c r="K42" s="32" t="str">
        <f>IF($C$57="I","Ounces", "Grams")</f>
        <v>Ounces</v>
      </c>
      <c r="L42" s="39" t="s">
        <v>163</v>
      </c>
      <c r="N42" s="70"/>
    </row>
    <row r="43" spans="2:14" ht="5.0999999999999996" customHeight="1" x14ac:dyDescent="0.25">
      <c r="B43" s="57"/>
      <c r="N43" s="59"/>
    </row>
    <row r="44" spans="2:14" x14ac:dyDescent="0.25">
      <c r="B44" s="57"/>
      <c r="D44" s="39" t="s">
        <v>172</v>
      </c>
      <c r="N44" s="59"/>
    </row>
    <row r="45" spans="2:14" x14ac:dyDescent="0.25">
      <c r="B45" s="57"/>
      <c r="E45" s="39" t="s">
        <v>173</v>
      </c>
      <c r="F45" s="73">
        <f>F34/2</f>
        <v>0</v>
      </c>
      <c r="G45" s="39"/>
      <c r="H45" s="32" t="str">
        <f>IF($C$57="I","Gallons","Liters")</f>
        <v>Gallons</v>
      </c>
      <c r="I45" s="39" t="s">
        <v>165</v>
      </c>
      <c r="J45" s="71">
        <f>$J$34/2</f>
        <v>0</v>
      </c>
      <c r="K45" s="32" t="str">
        <f>IF($C$57="I","Ounces", "Grams")</f>
        <v>Ounces</v>
      </c>
      <c r="L45" s="39" t="s">
        <v>166</v>
      </c>
      <c r="N45" s="59"/>
    </row>
    <row r="46" spans="2:14" x14ac:dyDescent="0.25">
      <c r="B46" s="57"/>
      <c r="E46" s="39" t="s">
        <v>331</v>
      </c>
      <c r="F46" s="60"/>
      <c r="H46" s="32" t="s">
        <v>151</v>
      </c>
      <c r="N46" s="59"/>
    </row>
    <row r="47" spans="2:14" x14ac:dyDescent="0.25">
      <c r="B47" s="57"/>
      <c r="E47" s="39" t="s">
        <v>174</v>
      </c>
      <c r="F47" s="71">
        <f>IF($F$20&lt;0,-($F$20/($F$16*2)),0)/2</f>
        <v>0</v>
      </c>
      <c r="H47" s="32" t="str">
        <f>IF($C$57="I","Gallons","Liters")</f>
        <v>Gallons</v>
      </c>
      <c r="I47" s="39" t="s">
        <v>165</v>
      </c>
      <c r="J47" s="71">
        <f>-IF($F$10=0,,(($F$16*($F$46/$F$10-1))*$F$14)+($F$47*$F$16))</f>
        <v>0</v>
      </c>
      <c r="K47" s="32" t="str">
        <f>IF($C$57="I","Ounces", "Grams")</f>
        <v>Ounces</v>
      </c>
      <c r="L47" s="39" t="s">
        <v>166</v>
      </c>
      <c r="N47" s="59"/>
    </row>
    <row r="48" spans="2:14" ht="5.0999999999999996" customHeight="1" x14ac:dyDescent="0.25">
      <c r="B48" s="57"/>
      <c r="E48" s="39"/>
      <c r="F48" s="69"/>
      <c r="I48" s="39"/>
      <c r="J48" s="69"/>
      <c r="L48" s="39"/>
      <c r="N48" s="59"/>
    </row>
    <row r="49" spans="2:14" x14ac:dyDescent="0.25">
      <c r="B49" s="57"/>
      <c r="D49" s="39" t="s">
        <v>175</v>
      </c>
      <c r="N49" s="59"/>
    </row>
    <row r="50" spans="2:14" x14ac:dyDescent="0.25">
      <c r="B50" s="57"/>
      <c r="E50" s="39" t="s">
        <v>173</v>
      </c>
      <c r="F50" s="71">
        <f>F36/2</f>
        <v>0</v>
      </c>
      <c r="G50" s="39"/>
      <c r="H50" s="32" t="str">
        <f>IF($C$57="I","Gallons","Liters")</f>
        <v>Gallons</v>
      </c>
      <c r="I50" s="39" t="s">
        <v>165</v>
      </c>
      <c r="J50" s="71">
        <f>$J$36/2</f>
        <v>0</v>
      </c>
      <c r="K50" s="32" t="str">
        <f>IF($C$57="I","Ounces", "Grams")</f>
        <v>Ounces</v>
      </c>
      <c r="L50" s="39" t="s">
        <v>166</v>
      </c>
      <c r="N50" s="59"/>
    </row>
    <row r="51" spans="2:14" x14ac:dyDescent="0.25">
      <c r="B51" s="57"/>
      <c r="E51" s="39" t="s">
        <v>330</v>
      </c>
      <c r="F51" s="60"/>
      <c r="H51" s="32" t="s">
        <v>151</v>
      </c>
      <c r="N51" s="59"/>
    </row>
    <row r="52" spans="2:14" x14ac:dyDescent="0.25">
      <c r="B52" s="57"/>
      <c r="E52" s="39" t="s">
        <v>174</v>
      </c>
      <c r="F52" s="71">
        <f>(IF($F$20&lt;0,-($F$20/($F$16*2)),0)/2)*2</f>
        <v>0</v>
      </c>
      <c r="H52" s="32" t="str">
        <f>IF($C$57="I","Gallons","Liters")</f>
        <v>Gallons</v>
      </c>
      <c r="I52" s="39" t="s">
        <v>165</v>
      </c>
      <c r="J52" s="71">
        <f>IF($F$10=0,,-(($F$16*($F$51/$F$10-1))*$F$14)+($F$52*$F$16))</f>
        <v>0</v>
      </c>
      <c r="K52" s="32" t="str">
        <f>IF($C$57="I","Ounces", "Grams")</f>
        <v>Ounces</v>
      </c>
      <c r="L52" s="39" t="s">
        <v>166</v>
      </c>
      <c r="N52" s="59"/>
    </row>
    <row r="53" spans="2:14" ht="15.75" thickBot="1" x14ac:dyDescent="0.3">
      <c r="B53" s="74"/>
      <c r="C53" s="75"/>
      <c r="D53" s="75"/>
      <c r="E53" s="75"/>
      <c r="F53" s="75"/>
      <c r="G53" s="75"/>
      <c r="H53" s="75"/>
      <c r="I53" s="75"/>
      <c r="J53" s="75"/>
      <c r="K53" s="75"/>
      <c r="L53" s="75"/>
      <c r="M53" s="75"/>
      <c r="N53" s="76"/>
    </row>
    <row r="54" spans="2:14" ht="16.5" hidden="1" thickTop="1" thickBot="1" x14ac:dyDescent="0.3"/>
    <row r="55" spans="2:14" ht="15.75" hidden="1" thickTop="1" x14ac:dyDescent="0.25">
      <c r="B55" s="77" t="s">
        <v>176</v>
      </c>
      <c r="C55" s="55"/>
      <c r="D55" s="55"/>
      <c r="E55" s="55"/>
      <c r="F55" s="56"/>
    </row>
    <row r="56" spans="2:14" hidden="1" x14ac:dyDescent="0.25">
      <c r="B56" s="78"/>
      <c r="F56" s="59"/>
    </row>
    <row r="57" spans="2:14" hidden="1" x14ac:dyDescent="0.25">
      <c r="B57" s="78"/>
      <c r="C57" s="79" t="str">
        <f xml:space="preserve"> IF(F8="U.S.", "I","M")</f>
        <v>I</v>
      </c>
      <c r="E57" s="283" t="s">
        <v>289</v>
      </c>
      <c r="F57" s="59"/>
    </row>
    <row r="58" spans="2:14" hidden="1" x14ac:dyDescent="0.25">
      <c r="B58" s="78"/>
      <c r="F58" s="59"/>
    </row>
    <row r="59" spans="2:14" hidden="1" x14ac:dyDescent="0.25">
      <c r="B59" s="78"/>
      <c r="C59" s="39" t="s">
        <v>177</v>
      </c>
      <c r="F59" s="59"/>
    </row>
    <row r="60" spans="2:14" hidden="1" x14ac:dyDescent="0.25">
      <c r="B60" s="78"/>
      <c r="C60" s="39" t="s">
        <v>288</v>
      </c>
      <c r="F60" s="59"/>
    </row>
    <row r="61" spans="2:14" hidden="1" x14ac:dyDescent="0.25">
      <c r="B61" s="78"/>
      <c r="C61" s="39" t="s">
        <v>178</v>
      </c>
      <c r="F61" s="59"/>
    </row>
    <row r="62" spans="2:14" hidden="1" x14ac:dyDescent="0.25">
      <c r="B62" s="78"/>
      <c r="F62" s="59"/>
    </row>
    <row r="63" spans="2:14" hidden="1" x14ac:dyDescent="0.25">
      <c r="B63" s="78"/>
      <c r="D63" s="39">
        <f>48.211/5.36</f>
        <v>8.9945895522388053</v>
      </c>
      <c r="F63" s="59"/>
    </row>
    <row r="64" spans="2:14" hidden="1" x14ac:dyDescent="0.25">
      <c r="B64" s="78"/>
      <c r="D64" s="39" t="s">
        <v>179</v>
      </c>
      <c r="E64" s="32">
        <f>48/10.16</f>
        <v>4.7244094488188972</v>
      </c>
      <c r="F64" s="59"/>
    </row>
    <row r="65" spans="2:19" hidden="1" x14ac:dyDescent="0.25">
      <c r="B65" s="78"/>
      <c r="F65" s="59"/>
    </row>
    <row r="66" spans="2:19" hidden="1" x14ac:dyDescent="0.25">
      <c r="B66" s="78"/>
      <c r="F66" s="59"/>
    </row>
    <row r="67" spans="2:19" hidden="1" x14ac:dyDescent="0.25">
      <c r="B67" s="80" t="s">
        <v>180</v>
      </c>
      <c r="C67" s="81"/>
      <c r="D67" s="82"/>
      <c r="E67" s="82"/>
      <c r="F67" s="83"/>
    </row>
    <row r="68" spans="2:19" hidden="1" x14ac:dyDescent="0.25"/>
    <row r="69" spans="2:19" ht="30" hidden="1" x14ac:dyDescent="0.25">
      <c r="H69" s="329" t="s">
        <v>332</v>
      </c>
      <c r="I69" s="330"/>
      <c r="J69" s="331" t="s">
        <v>312</v>
      </c>
      <c r="K69" s="330"/>
      <c r="L69" s="330"/>
      <c r="M69" s="332" t="s">
        <v>307</v>
      </c>
      <c r="N69" s="333" t="s">
        <v>308</v>
      </c>
    </row>
    <row r="70" spans="2:19" hidden="1" x14ac:dyDescent="0.25">
      <c r="H70" s="48" t="s">
        <v>294</v>
      </c>
      <c r="J70" s="297">
        <v>14.1</v>
      </c>
      <c r="L70" s="283" t="s">
        <v>310</v>
      </c>
      <c r="M70" s="32">
        <v>26</v>
      </c>
      <c r="N70" s="43"/>
      <c r="S70" s="283"/>
    </row>
    <row r="71" spans="2:19" hidden="1" x14ac:dyDescent="0.25">
      <c r="H71" s="334" t="s">
        <v>306</v>
      </c>
      <c r="J71" s="297">
        <v>77</v>
      </c>
      <c r="L71" s="283" t="s">
        <v>311</v>
      </c>
      <c r="M71" s="32" t="e">
        <f>IF(#REF!="F",#REF!,(#REF!*9/5)+32)</f>
        <v>#REF!</v>
      </c>
      <c r="N71" s="43" t="e">
        <f>M71</f>
        <v>#REF!</v>
      </c>
    </row>
    <row r="72" spans="2:19" hidden="1" x14ac:dyDescent="0.25">
      <c r="H72" s="48" t="s">
        <v>295</v>
      </c>
      <c r="J72" s="297">
        <v>1.0089999999999999</v>
      </c>
      <c r="N72" s="43"/>
    </row>
    <row r="73" spans="2:19" hidden="1" x14ac:dyDescent="0.25">
      <c r="H73" s="334" t="s">
        <v>314</v>
      </c>
      <c r="J73" s="299" t="s">
        <v>313</v>
      </c>
      <c r="M73" s="298" t="s">
        <v>313</v>
      </c>
      <c r="N73" s="335">
        <v>35</v>
      </c>
    </row>
    <row r="74" spans="2:19" hidden="1" x14ac:dyDescent="0.25">
      <c r="H74" s="334" t="s">
        <v>315</v>
      </c>
      <c r="J74" s="299" t="s">
        <v>313</v>
      </c>
      <c r="M74" s="300">
        <f>$F$4</f>
        <v>0</v>
      </c>
      <c r="N74" s="336" t="s">
        <v>313</v>
      </c>
    </row>
    <row r="75" spans="2:19" hidden="1" x14ac:dyDescent="0.25">
      <c r="H75" s="48" t="s">
        <v>296</v>
      </c>
      <c r="J75" s="299" t="s">
        <v>313</v>
      </c>
      <c r="M75" s="32">
        <f>(1000*(M74-$J$72))*$J$78</f>
        <v>-1347.0149999999999</v>
      </c>
      <c r="N75" s="43">
        <f>(N73-J70)/J78/1000</f>
        <v>1.5655430711610487E-2</v>
      </c>
    </row>
    <row r="76" spans="2:19" hidden="1" x14ac:dyDescent="0.25">
      <c r="H76" s="48" t="s">
        <v>297</v>
      </c>
      <c r="J76" s="299" t="s">
        <v>313</v>
      </c>
      <c r="M76" s="32" t="e">
        <f>(M71-$J$71)*0.21538</f>
        <v>#REF!</v>
      </c>
      <c r="N76" s="43" t="e">
        <f>(M71-J71)/0.19444</f>
        <v>#REF!</v>
      </c>
    </row>
    <row r="77" spans="2:19" hidden="1" x14ac:dyDescent="0.25">
      <c r="H77" s="334" t="s">
        <v>309</v>
      </c>
      <c r="J77" s="299" t="s">
        <v>313</v>
      </c>
      <c r="M77" s="297" t="e">
        <f>J70+M75+M76</f>
        <v>#REF!</v>
      </c>
      <c r="N77" s="337" t="e">
        <f>J72+N75+N76</f>
        <v>#REF!</v>
      </c>
    </row>
    <row r="78" spans="2:19" ht="15.75" hidden="1" thickBot="1" x14ac:dyDescent="0.3">
      <c r="H78" s="305" t="s">
        <v>298</v>
      </c>
      <c r="I78" s="338"/>
      <c r="J78" s="306">
        <v>1.335</v>
      </c>
      <c r="K78" s="338"/>
      <c r="L78" s="338"/>
      <c r="M78" s="338"/>
      <c r="N78" s="307"/>
    </row>
    <row r="79" spans="2:19" hidden="1" x14ac:dyDescent="0.25"/>
    <row r="80" spans="2:19" ht="15.75" thickTop="1" x14ac:dyDescent="0.25"/>
  </sheetData>
  <sheetProtection algorithmName="SHA-512" hashValue="lj6PILvfAvh+Qe2zoeIPC+aeDL9A5XP7sGOnCJddIjGDqmVHASrASzxs0um+RwO2iicSEwmuy8CkRvDQc7WF3Q==" saltValue="61qqLqaRawwQIKkOj1+4iw==" spinCount="100000" sheet="1" objects="1" scenarios="1"/>
  <dataValidations count="3">
    <dataValidation type="list" showInputMessage="1" showErrorMessage="1" sqref="F8" xr:uid="{D3214522-05CE-4F83-A4C7-5CF7C53D5EAF}">
      <formula1>$C$60:$C$61</formula1>
    </dataValidation>
    <dataValidation allowBlank="1" showInputMessage="1" showErrorMessage="1" promptTitle="CAUTION!" prompt="Is an ounce a unit of volume, or a unit of weight?   Reef Crystals specify 1/2 cup (4 oz volume) per gallon of water RC also specifies 1.4 lbs (22.4 oz weight) per 5 gallons of water to achieve SG of 1.021.  For RC, 4oz vol = 5oz weight" sqref="F16" xr:uid="{71C2295B-96F4-42E3-A704-E44261E3973F}"/>
    <dataValidation allowBlank="1" showInputMessage="1" showErrorMessage="1" promptTitle="Enter Volume or Weight" prompt="The amount of salt needed to reach target salinity will be either volume or weight consistent with what is entered here." sqref="I16" xr:uid="{CCA6945C-ADB5-47CB-912E-DD3FC622624C}"/>
  </dataValidations>
  <hyperlinks>
    <hyperlink ref="I2" location="Overview!A1" display="Return to Overview" xr:uid="{E85E422F-8919-4716-9B1F-5999ECB996CF}"/>
  </hyperlinks>
  <pageMargins left="0.7" right="0.7" top="0.75" bottom="0.75" header="0.3" footer="0.3"/>
  <pageSetup scale="75"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F5450-B24A-4955-9692-9C899961D3CA}">
  <sheetPr codeName="Sheet3"/>
  <dimension ref="B1:AA991"/>
  <sheetViews>
    <sheetView showGridLines="0" showRowColHeaders="0" showRuler="0" zoomScaleNormal="100" workbookViewId="0">
      <selection activeCell="C20" sqref="C20"/>
    </sheetView>
  </sheetViews>
  <sheetFormatPr defaultColWidth="14.42578125" defaultRowHeight="15" customHeight="1" x14ac:dyDescent="0.25"/>
  <cols>
    <col min="1" max="1" width="14.42578125" style="32"/>
    <col min="2" max="2" width="41.42578125" style="32" customWidth="1"/>
    <col min="3" max="3" width="11.7109375" style="32" customWidth="1"/>
    <col min="4" max="4" width="15.140625" style="32" customWidth="1"/>
    <col min="5" max="5" width="8.7109375" style="32" customWidth="1"/>
    <col min="6" max="6" width="19.140625" style="32" customWidth="1"/>
    <col min="7" max="9" width="8.7109375" style="32" hidden="1" customWidth="1"/>
    <col min="10" max="27" width="8.7109375" style="32" customWidth="1"/>
    <col min="28" max="16384" width="14.42578125" style="32"/>
  </cols>
  <sheetData>
    <row r="1" spans="2:27" ht="15" customHeight="1" thickBot="1" x14ac:dyDescent="0.3"/>
    <row r="2" spans="2:27" ht="22.5" thickTop="1" thickBot="1" x14ac:dyDescent="0.4">
      <c r="B2" s="384" t="s">
        <v>133</v>
      </c>
      <c r="C2" s="385"/>
      <c r="D2" s="386"/>
      <c r="E2" s="33"/>
      <c r="F2" s="284" t="s">
        <v>290</v>
      </c>
      <c r="G2" s="33"/>
      <c r="H2" s="33"/>
      <c r="I2" s="33"/>
      <c r="J2" s="33"/>
      <c r="K2" s="33"/>
      <c r="L2" s="33"/>
      <c r="M2" s="33"/>
      <c r="N2" s="33"/>
      <c r="O2" s="33"/>
      <c r="P2" s="33"/>
      <c r="Q2" s="33"/>
      <c r="R2" s="33"/>
      <c r="S2" s="33"/>
      <c r="T2" s="33"/>
      <c r="U2" s="33"/>
      <c r="V2" s="33"/>
      <c r="W2" s="33"/>
      <c r="X2" s="33"/>
      <c r="Y2" s="33"/>
      <c r="Z2" s="33"/>
      <c r="AA2" s="33"/>
    </row>
    <row r="3" spans="2:27" ht="15.75" thickTop="1" x14ac:dyDescent="0.25">
      <c r="B3" s="34" t="s">
        <v>134</v>
      </c>
      <c r="C3" s="35">
        <v>100</v>
      </c>
      <c r="D3" s="36" t="s">
        <v>135</v>
      </c>
    </row>
    <row r="4" spans="2:27" x14ac:dyDescent="0.25">
      <c r="B4" s="37"/>
      <c r="C4" s="38"/>
      <c r="D4" s="36"/>
      <c r="G4" s="287">
        <f>((C5/1000000)*(C7)/(C3/100))</f>
        <v>2.2499999999999998E-3</v>
      </c>
      <c r="H4" s="40" t="s">
        <v>141</v>
      </c>
    </row>
    <row r="5" spans="2:27" x14ac:dyDescent="0.25">
      <c r="B5" s="34" t="s">
        <v>136</v>
      </c>
      <c r="C5" s="35">
        <v>75</v>
      </c>
      <c r="D5" s="36" t="s">
        <v>137</v>
      </c>
      <c r="E5" s="39"/>
      <c r="G5" s="287">
        <f>((C5/1000000)*(C7)/(C3/100))*3.78541178</f>
        <v>8.5171765049999997E-3</v>
      </c>
      <c r="H5" s="40" t="s">
        <v>142</v>
      </c>
    </row>
    <row r="6" spans="2:27" x14ac:dyDescent="0.25">
      <c r="B6" s="37"/>
      <c r="C6" s="38"/>
      <c r="D6" s="36"/>
    </row>
    <row r="7" spans="2:27" x14ac:dyDescent="0.25">
      <c r="B7" s="37" t="s">
        <v>138</v>
      </c>
      <c r="C7" s="35">
        <v>30</v>
      </c>
      <c r="D7" s="40" t="s">
        <v>139</v>
      </c>
    </row>
    <row r="8" spans="2:27" x14ac:dyDescent="0.25">
      <c r="B8" s="37"/>
      <c r="C8" s="38"/>
      <c r="D8" s="36"/>
    </row>
    <row r="9" spans="2:27" x14ac:dyDescent="0.25">
      <c r="B9" s="34" t="s">
        <v>140</v>
      </c>
      <c r="C9" s="41">
        <f>G5*1000</f>
        <v>8.5171765050000001</v>
      </c>
      <c r="D9" s="288" t="s">
        <v>291</v>
      </c>
      <c r="E9" s="39"/>
    </row>
    <row r="10" spans="2:27" x14ac:dyDescent="0.25">
      <c r="B10" s="42" t="s">
        <v>143</v>
      </c>
      <c r="C10" s="38"/>
      <c r="D10" s="43"/>
    </row>
    <row r="11" spans="2:27" ht="15.75" thickBot="1" x14ac:dyDescent="0.3">
      <c r="B11" s="44" t="s">
        <v>144</v>
      </c>
      <c r="C11" s="38"/>
      <c r="D11" s="43"/>
    </row>
    <row r="12" spans="2:27" ht="15.75" x14ac:dyDescent="0.3">
      <c r="B12" s="377" t="s">
        <v>145</v>
      </c>
      <c r="C12" s="378"/>
      <c r="D12" s="379"/>
      <c r="G12" s="46">
        <f>G4*0.5</f>
        <v>1.1249999999999999E-3</v>
      </c>
      <c r="H12" s="47" t="s">
        <v>141</v>
      </c>
    </row>
    <row r="13" spans="2:27" ht="15.75" thickBot="1" x14ac:dyDescent="0.3">
      <c r="B13" s="380" t="s">
        <v>146</v>
      </c>
      <c r="C13" s="381"/>
      <c r="D13" s="382"/>
      <c r="G13" s="49">
        <f>G5*0.5</f>
        <v>4.2585882524999999E-3</v>
      </c>
      <c r="H13" s="47" t="s">
        <v>142</v>
      </c>
    </row>
    <row r="14" spans="2:27" x14ac:dyDescent="0.25">
      <c r="B14" s="383"/>
      <c r="C14" s="381"/>
      <c r="D14" s="382"/>
    </row>
    <row r="15" spans="2:27" x14ac:dyDescent="0.25">
      <c r="B15" s="383"/>
      <c r="C15" s="381"/>
      <c r="D15" s="382"/>
    </row>
    <row r="16" spans="2:27" x14ac:dyDescent="0.25">
      <c r="B16" s="45" t="s">
        <v>147</v>
      </c>
      <c r="C16" s="289">
        <f>C9*0.5</f>
        <v>4.2585882525000001</v>
      </c>
      <c r="D16" s="47" t="s">
        <v>291</v>
      </c>
      <c r="E16" s="39"/>
    </row>
    <row r="17" spans="2:8" ht="15.75" customHeight="1" x14ac:dyDescent="0.25">
      <c r="B17" s="48"/>
      <c r="D17" s="43"/>
    </row>
    <row r="18" spans="2:8" ht="15.75" customHeight="1" x14ac:dyDescent="0.25">
      <c r="B18" s="45" t="s">
        <v>148</v>
      </c>
      <c r="C18" s="50">
        <v>35</v>
      </c>
      <c r="D18" s="47" t="s">
        <v>137</v>
      </c>
      <c r="E18" s="39"/>
      <c r="G18" s="52">
        <f>(G12/$C$18)*($C$5-$C$18)</f>
        <v>1.2857142857142854E-3</v>
      </c>
      <c r="H18" s="47" t="s">
        <v>141</v>
      </c>
    </row>
    <row r="19" spans="2:8" ht="15.75" customHeight="1" x14ac:dyDescent="0.25">
      <c r="B19" s="48"/>
      <c r="C19" s="51"/>
      <c r="D19" s="43"/>
      <c r="G19" s="52">
        <f>(G13/$C$18)*($C$5-$C$18)</f>
        <v>4.8669580028571427E-3</v>
      </c>
      <c r="H19" s="47" t="s">
        <v>142</v>
      </c>
    </row>
    <row r="20" spans="2:8" ht="15.75" customHeight="1" thickBot="1" x14ac:dyDescent="0.3">
      <c r="B20" s="290" t="s">
        <v>149</v>
      </c>
      <c r="C20" s="53">
        <f>IF($C$18=0,0,(C16/$C$18)*($C$5-$C$18))</f>
        <v>4.8669580028571433</v>
      </c>
      <c r="D20" s="54" t="s">
        <v>291</v>
      </c>
    </row>
    <row r="21" spans="2:8" ht="15.75" customHeight="1" x14ac:dyDescent="0.25">
      <c r="C21" s="38"/>
    </row>
    <row r="22" spans="2:8" ht="15.75" customHeight="1" x14ac:dyDescent="0.25">
      <c r="B22" s="291">
        <v>45100</v>
      </c>
      <c r="C22" s="38"/>
    </row>
    <row r="23" spans="2:8" ht="15.75" customHeight="1" x14ac:dyDescent="0.25">
      <c r="C23" s="38"/>
    </row>
    <row r="24" spans="2:8" ht="15.75" customHeight="1" x14ac:dyDescent="0.25">
      <c r="C24" s="38"/>
    </row>
    <row r="25" spans="2:8" ht="15.75" customHeight="1" x14ac:dyDescent="0.25">
      <c r="C25" s="38"/>
    </row>
    <row r="26" spans="2:8" ht="15.75" customHeight="1" x14ac:dyDescent="0.25">
      <c r="C26" s="38"/>
    </row>
    <row r="27" spans="2:8" ht="15.75" customHeight="1" x14ac:dyDescent="0.25">
      <c r="C27" s="38"/>
    </row>
    <row r="28" spans="2:8" ht="15.75" customHeight="1" x14ac:dyDescent="0.25">
      <c r="C28" s="38"/>
    </row>
    <row r="29" spans="2:8" ht="15.75" customHeight="1" x14ac:dyDescent="0.25">
      <c r="C29" s="38"/>
    </row>
    <row r="30" spans="2:8" ht="15.75" customHeight="1" x14ac:dyDescent="0.25">
      <c r="C30" s="38"/>
    </row>
    <row r="31" spans="2:8" ht="15.75" customHeight="1" x14ac:dyDescent="0.25">
      <c r="C31" s="38"/>
    </row>
    <row r="32" spans="2:8" ht="15.75" customHeight="1" x14ac:dyDescent="0.25">
      <c r="C32" s="38"/>
    </row>
    <row r="33" spans="3:3" ht="15.75" customHeight="1" x14ac:dyDescent="0.25">
      <c r="C33" s="38"/>
    </row>
    <row r="34" spans="3:3" ht="15.75" customHeight="1" x14ac:dyDescent="0.25">
      <c r="C34" s="38"/>
    </row>
    <row r="35" spans="3:3" ht="15.75" customHeight="1" x14ac:dyDescent="0.25">
      <c r="C35" s="38"/>
    </row>
    <row r="36" spans="3:3" ht="15.75" customHeight="1" x14ac:dyDescent="0.25">
      <c r="C36" s="38"/>
    </row>
    <row r="37" spans="3:3" ht="15.75" customHeight="1" x14ac:dyDescent="0.25">
      <c r="C37" s="38"/>
    </row>
    <row r="38" spans="3:3" ht="15.75" customHeight="1" x14ac:dyDescent="0.25">
      <c r="C38" s="38"/>
    </row>
    <row r="39" spans="3:3" ht="15.75" customHeight="1" x14ac:dyDescent="0.25">
      <c r="C39" s="38"/>
    </row>
    <row r="40" spans="3:3" ht="15.75" customHeight="1" x14ac:dyDescent="0.25">
      <c r="C40" s="38"/>
    </row>
    <row r="41" spans="3:3" ht="15.75" customHeight="1" x14ac:dyDescent="0.25">
      <c r="C41" s="38"/>
    </row>
    <row r="42" spans="3:3" ht="15.75" customHeight="1" x14ac:dyDescent="0.25">
      <c r="C42" s="38"/>
    </row>
    <row r="43" spans="3:3" ht="15.75" customHeight="1" x14ac:dyDescent="0.25">
      <c r="C43" s="38"/>
    </row>
    <row r="44" spans="3:3" ht="15.75" customHeight="1" x14ac:dyDescent="0.25">
      <c r="C44" s="38"/>
    </row>
    <row r="45" spans="3:3" ht="15.75" customHeight="1" x14ac:dyDescent="0.25">
      <c r="C45" s="38"/>
    </row>
    <row r="46" spans="3:3" ht="15.75" customHeight="1" x14ac:dyDescent="0.25">
      <c r="C46" s="38"/>
    </row>
    <row r="47" spans="3:3" ht="15.75" customHeight="1" x14ac:dyDescent="0.25">
      <c r="C47" s="38"/>
    </row>
    <row r="48" spans="3:3" ht="15.75" customHeight="1" x14ac:dyDescent="0.25">
      <c r="C48" s="38"/>
    </row>
    <row r="49" spans="3:3" ht="15.75" customHeight="1" x14ac:dyDescent="0.25">
      <c r="C49" s="38"/>
    </row>
    <row r="50" spans="3:3" ht="15.75" customHeight="1" x14ac:dyDescent="0.25">
      <c r="C50" s="38"/>
    </row>
    <row r="51" spans="3:3" ht="15.75" customHeight="1" x14ac:dyDescent="0.25">
      <c r="C51" s="38"/>
    </row>
    <row r="52" spans="3:3" ht="15.75" customHeight="1" x14ac:dyDescent="0.25">
      <c r="C52" s="38"/>
    </row>
    <row r="53" spans="3:3" ht="15.75" customHeight="1" x14ac:dyDescent="0.25">
      <c r="C53" s="38"/>
    </row>
    <row r="54" spans="3:3" ht="15.75" customHeight="1" x14ac:dyDescent="0.25">
      <c r="C54" s="38"/>
    </row>
    <row r="55" spans="3:3" ht="15.75" customHeight="1" x14ac:dyDescent="0.25">
      <c r="C55" s="38"/>
    </row>
    <row r="56" spans="3:3" ht="15.75" customHeight="1" x14ac:dyDescent="0.25">
      <c r="C56" s="38"/>
    </row>
    <row r="57" spans="3:3" ht="15.75" customHeight="1" x14ac:dyDescent="0.25">
      <c r="C57" s="38"/>
    </row>
    <row r="58" spans="3:3" ht="15.75" customHeight="1" x14ac:dyDescent="0.25">
      <c r="C58" s="38"/>
    </row>
    <row r="59" spans="3:3" ht="15.75" customHeight="1" x14ac:dyDescent="0.25">
      <c r="C59" s="38"/>
    </row>
    <row r="60" spans="3:3" ht="15.75" customHeight="1" x14ac:dyDescent="0.25">
      <c r="C60" s="38"/>
    </row>
    <row r="61" spans="3:3" ht="15.75" customHeight="1" x14ac:dyDescent="0.25">
      <c r="C61" s="38"/>
    </row>
    <row r="62" spans="3:3" ht="15.75" customHeight="1" x14ac:dyDescent="0.25">
      <c r="C62" s="38"/>
    </row>
    <row r="63" spans="3:3" ht="15.75" customHeight="1" x14ac:dyDescent="0.25">
      <c r="C63" s="38"/>
    </row>
    <row r="64" spans="3:3" ht="15.75" customHeight="1" x14ac:dyDescent="0.25">
      <c r="C64" s="38"/>
    </row>
    <row r="65" spans="3:3" ht="15.75" customHeight="1" x14ac:dyDescent="0.25">
      <c r="C65" s="38"/>
    </row>
    <row r="66" spans="3:3" ht="15.75" customHeight="1" x14ac:dyDescent="0.25">
      <c r="C66" s="38"/>
    </row>
    <row r="67" spans="3:3" ht="15.75" customHeight="1" x14ac:dyDescent="0.25">
      <c r="C67" s="38"/>
    </row>
    <row r="68" spans="3:3" ht="15.75" customHeight="1" x14ac:dyDescent="0.25">
      <c r="C68" s="38"/>
    </row>
    <row r="69" spans="3:3" ht="15.75" customHeight="1" x14ac:dyDescent="0.25">
      <c r="C69" s="38"/>
    </row>
    <row r="70" spans="3:3" ht="15.75" customHeight="1" x14ac:dyDescent="0.25">
      <c r="C70" s="38"/>
    </row>
    <row r="71" spans="3:3" ht="15.75" customHeight="1" x14ac:dyDescent="0.25">
      <c r="C71" s="38"/>
    </row>
    <row r="72" spans="3:3" ht="15.75" customHeight="1" x14ac:dyDescent="0.25">
      <c r="C72" s="38"/>
    </row>
    <row r="73" spans="3:3" ht="15.75" customHeight="1" x14ac:dyDescent="0.25">
      <c r="C73" s="38"/>
    </row>
    <row r="74" spans="3:3" ht="15.75" customHeight="1" x14ac:dyDescent="0.25">
      <c r="C74" s="38"/>
    </row>
    <row r="75" spans="3:3" ht="15.75" customHeight="1" x14ac:dyDescent="0.25">
      <c r="C75" s="38"/>
    </row>
    <row r="76" spans="3:3" ht="15.75" customHeight="1" x14ac:dyDescent="0.25">
      <c r="C76" s="38"/>
    </row>
    <row r="77" spans="3:3" ht="15.75" customHeight="1" x14ac:dyDescent="0.25">
      <c r="C77" s="38"/>
    </row>
    <row r="78" spans="3:3" ht="15.75" customHeight="1" x14ac:dyDescent="0.25">
      <c r="C78" s="38"/>
    </row>
    <row r="79" spans="3:3" ht="15.75" customHeight="1" x14ac:dyDescent="0.25">
      <c r="C79" s="38"/>
    </row>
    <row r="80" spans="3:3" ht="15.75" customHeight="1" x14ac:dyDescent="0.25">
      <c r="C80" s="38"/>
    </row>
    <row r="81" spans="3:3" ht="15.75" customHeight="1" x14ac:dyDescent="0.25">
      <c r="C81" s="38"/>
    </row>
    <row r="82" spans="3:3" ht="15.75" customHeight="1" x14ac:dyDescent="0.25">
      <c r="C82" s="38"/>
    </row>
    <row r="83" spans="3:3" ht="15.75" customHeight="1" x14ac:dyDescent="0.25">
      <c r="C83" s="38"/>
    </row>
    <row r="84" spans="3:3" ht="15.75" customHeight="1" x14ac:dyDescent="0.25">
      <c r="C84" s="38"/>
    </row>
    <row r="85" spans="3:3" ht="15.75" customHeight="1" x14ac:dyDescent="0.25">
      <c r="C85" s="38"/>
    </row>
    <row r="86" spans="3:3" ht="15.75" customHeight="1" x14ac:dyDescent="0.25">
      <c r="C86" s="38"/>
    </row>
    <row r="87" spans="3:3" ht="15.75" customHeight="1" x14ac:dyDescent="0.25">
      <c r="C87" s="38"/>
    </row>
    <row r="88" spans="3:3" ht="15.75" customHeight="1" x14ac:dyDescent="0.25">
      <c r="C88" s="38"/>
    </row>
    <row r="89" spans="3:3" ht="15.75" customHeight="1" x14ac:dyDescent="0.25">
      <c r="C89" s="38"/>
    </row>
    <row r="90" spans="3:3" ht="15.75" customHeight="1" x14ac:dyDescent="0.25">
      <c r="C90" s="38"/>
    </row>
    <row r="91" spans="3:3" ht="15.75" customHeight="1" x14ac:dyDescent="0.25">
      <c r="C91" s="38"/>
    </row>
    <row r="92" spans="3:3" ht="15.75" customHeight="1" x14ac:dyDescent="0.25">
      <c r="C92" s="38"/>
    </row>
    <row r="93" spans="3:3" ht="15.75" customHeight="1" x14ac:dyDescent="0.25">
      <c r="C93" s="38"/>
    </row>
    <row r="94" spans="3:3" ht="15.75" customHeight="1" x14ac:dyDescent="0.25">
      <c r="C94" s="38"/>
    </row>
    <row r="95" spans="3:3" ht="15.75" customHeight="1" x14ac:dyDescent="0.25">
      <c r="C95" s="38"/>
    </row>
    <row r="96" spans="3:3" ht="15.75" customHeight="1" x14ac:dyDescent="0.25">
      <c r="C96" s="38"/>
    </row>
    <row r="97" spans="3:3" ht="15.75" customHeight="1" x14ac:dyDescent="0.25">
      <c r="C97" s="38"/>
    </row>
    <row r="98" spans="3:3" ht="15.75" customHeight="1" x14ac:dyDescent="0.25">
      <c r="C98" s="38"/>
    </row>
    <row r="99" spans="3:3" ht="15.75" customHeight="1" x14ac:dyDescent="0.25">
      <c r="C99" s="38"/>
    </row>
    <row r="100" spans="3:3" ht="15.75" customHeight="1" x14ac:dyDescent="0.25">
      <c r="C100" s="38"/>
    </row>
    <row r="101" spans="3:3" ht="15.75" customHeight="1" x14ac:dyDescent="0.25">
      <c r="C101" s="38"/>
    </row>
    <row r="102" spans="3:3" ht="15.75" customHeight="1" x14ac:dyDescent="0.25">
      <c r="C102" s="38"/>
    </row>
    <row r="103" spans="3:3" ht="15.75" customHeight="1" x14ac:dyDescent="0.25">
      <c r="C103" s="38"/>
    </row>
    <row r="104" spans="3:3" ht="15.75" customHeight="1" x14ac:dyDescent="0.25">
      <c r="C104" s="38"/>
    </row>
    <row r="105" spans="3:3" ht="15.75" customHeight="1" x14ac:dyDescent="0.25">
      <c r="C105" s="38"/>
    </row>
    <row r="106" spans="3:3" ht="15.75" customHeight="1" x14ac:dyDescent="0.25">
      <c r="C106" s="38"/>
    </row>
    <row r="107" spans="3:3" ht="15.75" customHeight="1" x14ac:dyDescent="0.25">
      <c r="C107" s="38"/>
    </row>
    <row r="108" spans="3:3" ht="15.75" customHeight="1" x14ac:dyDescent="0.25">
      <c r="C108" s="38"/>
    </row>
    <row r="109" spans="3:3" ht="15.75" customHeight="1" x14ac:dyDescent="0.25">
      <c r="C109" s="38"/>
    </row>
    <row r="110" spans="3:3" ht="15.75" customHeight="1" x14ac:dyDescent="0.25">
      <c r="C110" s="38"/>
    </row>
    <row r="111" spans="3:3" ht="15.75" customHeight="1" x14ac:dyDescent="0.25">
      <c r="C111" s="38"/>
    </row>
    <row r="112" spans="3:3" ht="15.75" customHeight="1" x14ac:dyDescent="0.25">
      <c r="C112" s="38"/>
    </row>
    <row r="113" spans="3:3" ht="15.75" customHeight="1" x14ac:dyDescent="0.25">
      <c r="C113" s="38"/>
    </row>
    <row r="114" spans="3:3" ht="15.75" customHeight="1" x14ac:dyDescent="0.25">
      <c r="C114" s="38"/>
    </row>
    <row r="115" spans="3:3" ht="15.75" customHeight="1" x14ac:dyDescent="0.25">
      <c r="C115" s="38"/>
    </row>
    <row r="116" spans="3:3" ht="15.75" customHeight="1" x14ac:dyDescent="0.25">
      <c r="C116" s="38"/>
    </row>
    <row r="117" spans="3:3" ht="15.75" customHeight="1" x14ac:dyDescent="0.25">
      <c r="C117" s="38"/>
    </row>
    <row r="118" spans="3:3" ht="15.75" customHeight="1" x14ac:dyDescent="0.25">
      <c r="C118" s="38"/>
    </row>
    <row r="119" spans="3:3" ht="15.75" customHeight="1" x14ac:dyDescent="0.25">
      <c r="C119" s="38"/>
    </row>
    <row r="120" spans="3:3" ht="15.75" customHeight="1" x14ac:dyDescent="0.25">
      <c r="C120" s="38"/>
    </row>
    <row r="121" spans="3:3" ht="15.75" customHeight="1" x14ac:dyDescent="0.25">
      <c r="C121" s="38"/>
    </row>
    <row r="122" spans="3:3" ht="15.75" customHeight="1" x14ac:dyDescent="0.25">
      <c r="C122" s="38"/>
    </row>
    <row r="123" spans="3:3" ht="15.75" customHeight="1" x14ac:dyDescent="0.25">
      <c r="C123" s="38"/>
    </row>
    <row r="124" spans="3:3" ht="15.75" customHeight="1" x14ac:dyDescent="0.25">
      <c r="C124" s="38"/>
    </row>
    <row r="125" spans="3:3" ht="15.75" customHeight="1" x14ac:dyDescent="0.25">
      <c r="C125" s="38"/>
    </row>
    <row r="126" spans="3:3" ht="15.75" customHeight="1" x14ac:dyDescent="0.25">
      <c r="C126" s="38"/>
    </row>
    <row r="127" spans="3:3" ht="15.75" customHeight="1" x14ac:dyDescent="0.25">
      <c r="C127" s="38"/>
    </row>
    <row r="128" spans="3:3" ht="15.75" customHeight="1" x14ac:dyDescent="0.25">
      <c r="C128" s="38"/>
    </row>
    <row r="129" spans="3:3" ht="15.75" customHeight="1" x14ac:dyDescent="0.25">
      <c r="C129" s="38"/>
    </row>
    <row r="130" spans="3:3" ht="15.75" customHeight="1" x14ac:dyDescent="0.25">
      <c r="C130" s="38"/>
    </row>
    <row r="131" spans="3:3" ht="15.75" customHeight="1" x14ac:dyDescent="0.25">
      <c r="C131" s="38"/>
    </row>
    <row r="132" spans="3:3" ht="15.75" customHeight="1" x14ac:dyDescent="0.25">
      <c r="C132" s="38"/>
    </row>
    <row r="133" spans="3:3" ht="15.75" customHeight="1" x14ac:dyDescent="0.25">
      <c r="C133" s="38"/>
    </row>
    <row r="134" spans="3:3" ht="15.75" customHeight="1" x14ac:dyDescent="0.25">
      <c r="C134" s="38"/>
    </row>
    <row r="135" spans="3:3" ht="15.75" customHeight="1" x14ac:dyDescent="0.25">
      <c r="C135" s="38"/>
    </row>
    <row r="136" spans="3:3" ht="15.75" customHeight="1" x14ac:dyDescent="0.25">
      <c r="C136" s="38"/>
    </row>
    <row r="137" spans="3:3" ht="15.75" customHeight="1" x14ac:dyDescent="0.25">
      <c r="C137" s="38"/>
    </row>
    <row r="138" spans="3:3" ht="15.75" customHeight="1" x14ac:dyDescent="0.25">
      <c r="C138" s="38"/>
    </row>
    <row r="139" spans="3:3" ht="15.75" customHeight="1" x14ac:dyDescent="0.25">
      <c r="C139" s="38"/>
    </row>
    <row r="140" spans="3:3" ht="15.75" customHeight="1" x14ac:dyDescent="0.25">
      <c r="C140" s="38"/>
    </row>
    <row r="141" spans="3:3" ht="15.75" customHeight="1" x14ac:dyDescent="0.25">
      <c r="C141" s="38"/>
    </row>
    <row r="142" spans="3:3" ht="15.75" customHeight="1" x14ac:dyDescent="0.25">
      <c r="C142" s="38"/>
    </row>
    <row r="143" spans="3:3" ht="15.75" customHeight="1" x14ac:dyDescent="0.25">
      <c r="C143" s="38"/>
    </row>
    <row r="144" spans="3:3" ht="15.75" customHeight="1" x14ac:dyDescent="0.25">
      <c r="C144" s="38"/>
    </row>
    <row r="145" spans="3:3" ht="15.75" customHeight="1" x14ac:dyDescent="0.25">
      <c r="C145" s="38"/>
    </row>
    <row r="146" spans="3:3" ht="15.75" customHeight="1" x14ac:dyDescent="0.25">
      <c r="C146" s="38"/>
    </row>
    <row r="147" spans="3:3" ht="15.75" customHeight="1" x14ac:dyDescent="0.25">
      <c r="C147" s="38"/>
    </row>
    <row r="148" spans="3:3" ht="15.75" customHeight="1" x14ac:dyDescent="0.25">
      <c r="C148" s="38"/>
    </row>
    <row r="149" spans="3:3" ht="15.75" customHeight="1" x14ac:dyDescent="0.25">
      <c r="C149" s="38"/>
    </row>
    <row r="150" spans="3:3" ht="15.75" customHeight="1" x14ac:dyDescent="0.25">
      <c r="C150" s="38"/>
    </row>
    <row r="151" spans="3:3" ht="15.75" customHeight="1" x14ac:dyDescent="0.25">
      <c r="C151" s="38"/>
    </row>
    <row r="152" spans="3:3" ht="15.75" customHeight="1" x14ac:dyDescent="0.25">
      <c r="C152" s="38"/>
    </row>
    <row r="153" spans="3:3" ht="15.75" customHeight="1" x14ac:dyDescent="0.25">
      <c r="C153" s="38"/>
    </row>
    <row r="154" spans="3:3" ht="15.75" customHeight="1" x14ac:dyDescent="0.25">
      <c r="C154" s="38"/>
    </row>
    <row r="155" spans="3:3" ht="15.75" customHeight="1" x14ac:dyDescent="0.25">
      <c r="C155" s="38"/>
    </row>
    <row r="156" spans="3:3" ht="15.75" customHeight="1" x14ac:dyDescent="0.25">
      <c r="C156" s="38"/>
    </row>
    <row r="157" spans="3:3" ht="15.75" customHeight="1" x14ac:dyDescent="0.25">
      <c r="C157" s="38"/>
    </row>
    <row r="158" spans="3:3" ht="15.75" customHeight="1" x14ac:dyDescent="0.25">
      <c r="C158" s="38"/>
    </row>
    <row r="159" spans="3:3" ht="15.75" customHeight="1" x14ac:dyDescent="0.25">
      <c r="C159" s="38"/>
    </row>
    <row r="160" spans="3:3" ht="15.75" customHeight="1" x14ac:dyDescent="0.25">
      <c r="C160" s="38"/>
    </row>
    <row r="161" spans="3:3" ht="15.75" customHeight="1" x14ac:dyDescent="0.25">
      <c r="C161" s="38"/>
    </row>
    <row r="162" spans="3:3" ht="15.75" customHeight="1" x14ac:dyDescent="0.25">
      <c r="C162" s="38"/>
    </row>
    <row r="163" spans="3:3" ht="15.75" customHeight="1" x14ac:dyDescent="0.25">
      <c r="C163" s="38"/>
    </row>
    <row r="164" spans="3:3" ht="15.75" customHeight="1" x14ac:dyDescent="0.25">
      <c r="C164" s="38"/>
    </row>
    <row r="165" spans="3:3" ht="15.75" customHeight="1" x14ac:dyDescent="0.25">
      <c r="C165" s="38"/>
    </row>
    <row r="166" spans="3:3" ht="15.75" customHeight="1" x14ac:dyDescent="0.25">
      <c r="C166" s="38"/>
    </row>
    <row r="167" spans="3:3" ht="15.75" customHeight="1" x14ac:dyDescent="0.25">
      <c r="C167" s="38"/>
    </row>
    <row r="168" spans="3:3" ht="15.75" customHeight="1" x14ac:dyDescent="0.25">
      <c r="C168" s="38"/>
    </row>
    <row r="169" spans="3:3" ht="15.75" customHeight="1" x14ac:dyDescent="0.25">
      <c r="C169" s="38"/>
    </row>
    <row r="170" spans="3:3" ht="15.75" customHeight="1" x14ac:dyDescent="0.25">
      <c r="C170" s="38"/>
    </row>
    <row r="171" spans="3:3" ht="15.75" customHeight="1" x14ac:dyDescent="0.25">
      <c r="C171" s="38"/>
    </row>
    <row r="172" spans="3:3" ht="15.75" customHeight="1" x14ac:dyDescent="0.25">
      <c r="C172" s="38"/>
    </row>
    <row r="173" spans="3:3" ht="15.75" customHeight="1" x14ac:dyDescent="0.25">
      <c r="C173" s="38"/>
    </row>
    <row r="174" spans="3:3" ht="15.75" customHeight="1" x14ac:dyDescent="0.25">
      <c r="C174" s="38"/>
    </row>
    <row r="175" spans="3:3" ht="15.75" customHeight="1" x14ac:dyDescent="0.25">
      <c r="C175" s="38"/>
    </row>
    <row r="176" spans="3:3" ht="15.75" customHeight="1" x14ac:dyDescent="0.25">
      <c r="C176" s="38"/>
    </row>
    <row r="177" spans="3:3" ht="15.75" customHeight="1" x14ac:dyDescent="0.25">
      <c r="C177" s="38"/>
    </row>
    <row r="178" spans="3:3" ht="15.75" customHeight="1" x14ac:dyDescent="0.25">
      <c r="C178" s="38"/>
    </row>
    <row r="179" spans="3:3" ht="15.75" customHeight="1" x14ac:dyDescent="0.25">
      <c r="C179" s="38"/>
    </row>
    <row r="180" spans="3:3" ht="15.75" customHeight="1" x14ac:dyDescent="0.25">
      <c r="C180" s="38"/>
    </row>
    <row r="181" spans="3:3" ht="15.75" customHeight="1" x14ac:dyDescent="0.25">
      <c r="C181" s="38"/>
    </row>
    <row r="182" spans="3:3" ht="15.75" customHeight="1" x14ac:dyDescent="0.25">
      <c r="C182" s="38"/>
    </row>
    <row r="183" spans="3:3" ht="15.75" customHeight="1" x14ac:dyDescent="0.25">
      <c r="C183" s="38"/>
    </row>
    <row r="184" spans="3:3" ht="15.75" customHeight="1" x14ac:dyDescent="0.25">
      <c r="C184" s="38"/>
    </row>
    <row r="185" spans="3:3" ht="15.75" customHeight="1" x14ac:dyDescent="0.25">
      <c r="C185" s="38"/>
    </row>
    <row r="186" spans="3:3" ht="15.75" customHeight="1" x14ac:dyDescent="0.25">
      <c r="C186" s="38"/>
    </row>
    <row r="187" spans="3:3" ht="15.75" customHeight="1" x14ac:dyDescent="0.25">
      <c r="C187" s="38"/>
    </row>
    <row r="188" spans="3:3" ht="15.75" customHeight="1" x14ac:dyDescent="0.25">
      <c r="C188" s="38"/>
    </row>
    <row r="189" spans="3:3" ht="15.75" customHeight="1" x14ac:dyDescent="0.25">
      <c r="C189" s="38"/>
    </row>
    <row r="190" spans="3:3" ht="15.75" customHeight="1" x14ac:dyDescent="0.25">
      <c r="C190" s="38"/>
    </row>
    <row r="191" spans="3:3" ht="15.75" customHeight="1" x14ac:dyDescent="0.25">
      <c r="C191" s="38"/>
    </row>
    <row r="192" spans="3:3" ht="15.75" customHeight="1" x14ac:dyDescent="0.25">
      <c r="C192" s="38"/>
    </row>
    <row r="193" spans="3:3" ht="15.75" customHeight="1" x14ac:dyDescent="0.25">
      <c r="C193" s="38"/>
    </row>
    <row r="194" spans="3:3" ht="15.75" customHeight="1" x14ac:dyDescent="0.25">
      <c r="C194" s="38"/>
    </row>
    <row r="195" spans="3:3" ht="15.75" customHeight="1" x14ac:dyDescent="0.25">
      <c r="C195" s="38"/>
    </row>
    <row r="196" spans="3:3" ht="15.75" customHeight="1" x14ac:dyDescent="0.25">
      <c r="C196" s="38"/>
    </row>
    <row r="197" spans="3:3" ht="15.75" customHeight="1" x14ac:dyDescent="0.25">
      <c r="C197" s="38"/>
    </row>
    <row r="198" spans="3:3" ht="15.75" customHeight="1" x14ac:dyDescent="0.25">
      <c r="C198" s="38"/>
    </row>
    <row r="199" spans="3:3" ht="15.75" customHeight="1" x14ac:dyDescent="0.25">
      <c r="C199" s="38"/>
    </row>
    <row r="200" spans="3:3" ht="15.75" customHeight="1" x14ac:dyDescent="0.25">
      <c r="C200" s="38"/>
    </row>
    <row r="201" spans="3:3" ht="15.75" customHeight="1" x14ac:dyDescent="0.25">
      <c r="C201" s="38"/>
    </row>
    <row r="202" spans="3:3" ht="15.75" customHeight="1" x14ac:dyDescent="0.25">
      <c r="C202" s="38"/>
    </row>
    <row r="203" spans="3:3" ht="15.75" customHeight="1" x14ac:dyDescent="0.25">
      <c r="C203" s="38"/>
    </row>
    <row r="204" spans="3:3" ht="15.75" customHeight="1" x14ac:dyDescent="0.25">
      <c r="C204" s="38"/>
    </row>
    <row r="205" spans="3:3" ht="15.75" customHeight="1" x14ac:dyDescent="0.25">
      <c r="C205" s="38"/>
    </row>
    <row r="206" spans="3:3" ht="15.75" customHeight="1" x14ac:dyDescent="0.25">
      <c r="C206" s="38"/>
    </row>
    <row r="207" spans="3:3" ht="15.75" customHeight="1" x14ac:dyDescent="0.25">
      <c r="C207" s="38"/>
    </row>
    <row r="208" spans="3:3" ht="15.75" customHeight="1" x14ac:dyDescent="0.25">
      <c r="C208" s="38"/>
    </row>
    <row r="209" spans="3:3" ht="15.75" customHeight="1" x14ac:dyDescent="0.25">
      <c r="C209" s="38"/>
    </row>
    <row r="210" spans="3:3" ht="15.75" customHeight="1" x14ac:dyDescent="0.25">
      <c r="C210" s="38"/>
    </row>
    <row r="211" spans="3:3" ht="15.75" customHeight="1" x14ac:dyDescent="0.25">
      <c r="C211" s="38"/>
    </row>
    <row r="212" spans="3:3" ht="15.75" customHeight="1" x14ac:dyDescent="0.25">
      <c r="C212" s="38"/>
    </row>
    <row r="213" spans="3:3" ht="15.75" customHeight="1" x14ac:dyDescent="0.25">
      <c r="C213" s="38"/>
    </row>
    <row r="214" spans="3:3" ht="15.75" customHeight="1" x14ac:dyDescent="0.25">
      <c r="C214" s="38"/>
    </row>
    <row r="215" spans="3:3" ht="15.75" customHeight="1" x14ac:dyDescent="0.25">
      <c r="C215" s="38"/>
    </row>
    <row r="216" spans="3:3" ht="15.75" customHeight="1" x14ac:dyDescent="0.25">
      <c r="C216" s="38"/>
    </row>
    <row r="217" spans="3:3" ht="15.75" customHeight="1" x14ac:dyDescent="0.25">
      <c r="C217" s="38"/>
    </row>
    <row r="218" spans="3:3" ht="15.75" customHeight="1" x14ac:dyDescent="0.25">
      <c r="C218" s="38"/>
    </row>
    <row r="219" spans="3:3" ht="15.75" customHeight="1" x14ac:dyDescent="0.25">
      <c r="C219" s="38"/>
    </row>
    <row r="220" spans="3:3" ht="15.75" customHeight="1" x14ac:dyDescent="0.25">
      <c r="C220" s="38"/>
    </row>
    <row r="221" spans="3:3" ht="15.75" customHeight="1" x14ac:dyDescent="0.25">
      <c r="C221" s="38"/>
    </row>
    <row r="222" spans="3:3" ht="15.75" customHeight="1" x14ac:dyDescent="0.25">
      <c r="C222" s="38"/>
    </row>
    <row r="223" spans="3:3" ht="15.75" customHeight="1" x14ac:dyDescent="0.25">
      <c r="C223" s="38"/>
    </row>
    <row r="224" spans="3:3" ht="15.75" customHeight="1" x14ac:dyDescent="0.25">
      <c r="C224" s="38"/>
    </row>
    <row r="225" spans="3:3" ht="15.75" customHeight="1" x14ac:dyDescent="0.25">
      <c r="C225" s="38"/>
    </row>
    <row r="226" spans="3:3" ht="15.75" customHeight="1" x14ac:dyDescent="0.25">
      <c r="C226" s="38"/>
    </row>
    <row r="227" spans="3:3" ht="15.75" customHeight="1" x14ac:dyDescent="0.25">
      <c r="C227" s="38"/>
    </row>
    <row r="228" spans="3:3" ht="15.75" customHeight="1" x14ac:dyDescent="0.25">
      <c r="C228" s="38"/>
    </row>
    <row r="229" spans="3:3" ht="15.75" customHeight="1" x14ac:dyDescent="0.25">
      <c r="C229" s="38"/>
    </row>
    <row r="230" spans="3:3" ht="15.75" customHeight="1" x14ac:dyDescent="0.25">
      <c r="C230" s="38"/>
    </row>
    <row r="231" spans="3:3" ht="15.75" customHeight="1" x14ac:dyDescent="0.25">
      <c r="C231" s="38"/>
    </row>
    <row r="232" spans="3:3" ht="15.75" customHeight="1" x14ac:dyDescent="0.25">
      <c r="C232" s="38"/>
    </row>
    <row r="233" spans="3:3" ht="15.75" customHeight="1" x14ac:dyDescent="0.25">
      <c r="C233" s="38"/>
    </row>
    <row r="234" spans="3:3" ht="15.75" customHeight="1" x14ac:dyDescent="0.25">
      <c r="C234" s="38"/>
    </row>
    <row r="235" spans="3:3" ht="15.75" customHeight="1" x14ac:dyDescent="0.25">
      <c r="C235" s="38"/>
    </row>
    <row r="236" spans="3:3" ht="15.75" customHeight="1" x14ac:dyDescent="0.25">
      <c r="C236" s="38"/>
    </row>
    <row r="237" spans="3:3" ht="15.75" customHeight="1" x14ac:dyDescent="0.25">
      <c r="C237" s="38"/>
    </row>
    <row r="238" spans="3:3" ht="15.75" customHeight="1" x14ac:dyDescent="0.25">
      <c r="C238" s="38"/>
    </row>
    <row r="239" spans="3:3" ht="15.75" customHeight="1" x14ac:dyDescent="0.25">
      <c r="C239" s="38"/>
    </row>
    <row r="240" spans="3:3" ht="15.75" customHeight="1" x14ac:dyDescent="0.25">
      <c r="C240" s="38"/>
    </row>
    <row r="241" spans="3:3" ht="15.75" customHeight="1" x14ac:dyDescent="0.25">
      <c r="C241" s="38"/>
    </row>
    <row r="242" spans="3:3" ht="15.75" customHeight="1" x14ac:dyDescent="0.25">
      <c r="C242" s="38"/>
    </row>
    <row r="243" spans="3:3" ht="15.75" customHeight="1" x14ac:dyDescent="0.25">
      <c r="C243" s="38"/>
    </row>
    <row r="244" spans="3:3" ht="15.75" customHeight="1" x14ac:dyDescent="0.25">
      <c r="C244" s="38"/>
    </row>
    <row r="245" spans="3:3" ht="15.75" customHeight="1" x14ac:dyDescent="0.25">
      <c r="C245" s="38"/>
    </row>
    <row r="246" spans="3:3" ht="15.75" customHeight="1" x14ac:dyDescent="0.25">
      <c r="C246" s="38"/>
    </row>
    <row r="247" spans="3:3" ht="15.75" customHeight="1" x14ac:dyDescent="0.25">
      <c r="C247" s="38"/>
    </row>
    <row r="248" spans="3:3" ht="15.75" customHeight="1" x14ac:dyDescent="0.25">
      <c r="C248" s="38"/>
    </row>
    <row r="249" spans="3:3" ht="15.75" customHeight="1" x14ac:dyDescent="0.25">
      <c r="C249" s="38"/>
    </row>
    <row r="250" spans="3:3" ht="15.75" customHeight="1" x14ac:dyDescent="0.25">
      <c r="C250" s="38"/>
    </row>
    <row r="251" spans="3:3" ht="15.75" customHeight="1" x14ac:dyDescent="0.25">
      <c r="C251" s="38"/>
    </row>
    <row r="252" spans="3:3" ht="15.75" customHeight="1" x14ac:dyDescent="0.25">
      <c r="C252" s="38"/>
    </row>
    <row r="253" spans="3:3" ht="15.75" customHeight="1" x14ac:dyDescent="0.25">
      <c r="C253" s="38"/>
    </row>
    <row r="254" spans="3:3" ht="15.75" customHeight="1" x14ac:dyDescent="0.25">
      <c r="C254" s="38"/>
    </row>
    <row r="255" spans="3:3" ht="15.75" customHeight="1" x14ac:dyDescent="0.25">
      <c r="C255" s="38"/>
    </row>
    <row r="256" spans="3:3" ht="15.75" customHeight="1" x14ac:dyDescent="0.25">
      <c r="C256" s="38"/>
    </row>
    <row r="257" spans="3:3" ht="15.75" customHeight="1" x14ac:dyDescent="0.25">
      <c r="C257" s="38"/>
    </row>
    <row r="258" spans="3:3" ht="15.75" customHeight="1" x14ac:dyDescent="0.25">
      <c r="C258" s="38"/>
    </row>
    <row r="259" spans="3:3" ht="15.75" customHeight="1" x14ac:dyDescent="0.25">
      <c r="C259" s="38"/>
    </row>
    <row r="260" spans="3:3" ht="15.75" customHeight="1" x14ac:dyDescent="0.25">
      <c r="C260" s="38"/>
    </row>
    <row r="261" spans="3:3" ht="15.75" customHeight="1" x14ac:dyDescent="0.25">
      <c r="C261" s="38"/>
    </row>
    <row r="262" spans="3:3" ht="15.75" customHeight="1" x14ac:dyDescent="0.25">
      <c r="C262" s="38"/>
    </row>
    <row r="263" spans="3:3" ht="15.75" customHeight="1" x14ac:dyDescent="0.25">
      <c r="C263" s="38"/>
    </row>
    <row r="264" spans="3:3" ht="15.75" customHeight="1" x14ac:dyDescent="0.25">
      <c r="C264" s="38"/>
    </row>
    <row r="265" spans="3:3" ht="15.75" customHeight="1" x14ac:dyDescent="0.25">
      <c r="C265" s="38"/>
    </row>
    <row r="266" spans="3:3" ht="15.75" customHeight="1" x14ac:dyDescent="0.25">
      <c r="C266" s="38"/>
    </row>
    <row r="267" spans="3:3" ht="15.75" customHeight="1" x14ac:dyDescent="0.25">
      <c r="C267" s="38"/>
    </row>
    <row r="268" spans="3:3" ht="15.75" customHeight="1" x14ac:dyDescent="0.25">
      <c r="C268" s="38"/>
    </row>
    <row r="269" spans="3:3" ht="15.75" customHeight="1" x14ac:dyDescent="0.25">
      <c r="C269" s="38"/>
    </row>
    <row r="270" spans="3:3" ht="15.75" customHeight="1" x14ac:dyDescent="0.25">
      <c r="C270" s="38"/>
    </row>
    <row r="271" spans="3:3" ht="15.75" customHeight="1" x14ac:dyDescent="0.25">
      <c r="C271" s="38"/>
    </row>
    <row r="272" spans="3:3" ht="15.75" customHeight="1" x14ac:dyDescent="0.25">
      <c r="C272" s="38"/>
    </row>
    <row r="273" spans="3:3" ht="15.75" customHeight="1" x14ac:dyDescent="0.25">
      <c r="C273" s="38"/>
    </row>
    <row r="274" spans="3:3" ht="15.75" customHeight="1" x14ac:dyDescent="0.25">
      <c r="C274" s="38"/>
    </row>
    <row r="275" spans="3:3" ht="15.75" customHeight="1" x14ac:dyDescent="0.25">
      <c r="C275" s="38"/>
    </row>
    <row r="276" spans="3:3" ht="15.75" customHeight="1" x14ac:dyDescent="0.25">
      <c r="C276" s="38"/>
    </row>
    <row r="277" spans="3:3" ht="15.75" customHeight="1" x14ac:dyDescent="0.25">
      <c r="C277" s="38"/>
    </row>
    <row r="278" spans="3:3" ht="15.75" customHeight="1" x14ac:dyDescent="0.25">
      <c r="C278" s="38"/>
    </row>
    <row r="279" spans="3:3" ht="15.75" customHeight="1" x14ac:dyDescent="0.25">
      <c r="C279" s="38"/>
    </row>
    <row r="280" spans="3:3" ht="15.75" customHeight="1" x14ac:dyDescent="0.25">
      <c r="C280" s="38"/>
    </row>
    <row r="281" spans="3:3" ht="15.75" customHeight="1" x14ac:dyDescent="0.25">
      <c r="C281" s="38"/>
    </row>
    <row r="282" spans="3:3" ht="15.75" customHeight="1" x14ac:dyDescent="0.25">
      <c r="C282" s="38"/>
    </row>
    <row r="283" spans="3:3" ht="15.75" customHeight="1" x14ac:dyDescent="0.25">
      <c r="C283" s="38"/>
    </row>
    <row r="284" spans="3:3" ht="15.75" customHeight="1" x14ac:dyDescent="0.25">
      <c r="C284" s="38"/>
    </row>
    <row r="285" spans="3:3" ht="15.75" customHeight="1" x14ac:dyDescent="0.25">
      <c r="C285" s="38"/>
    </row>
    <row r="286" spans="3:3" ht="15.75" customHeight="1" x14ac:dyDescent="0.25">
      <c r="C286" s="38"/>
    </row>
    <row r="287" spans="3:3" ht="15.75" customHeight="1" x14ac:dyDescent="0.25">
      <c r="C287" s="38"/>
    </row>
    <row r="288" spans="3:3" ht="15.75" customHeight="1" x14ac:dyDescent="0.25">
      <c r="C288" s="38"/>
    </row>
    <row r="289" spans="3:3" ht="15.75" customHeight="1" x14ac:dyDescent="0.25">
      <c r="C289" s="38"/>
    </row>
    <row r="290" spans="3:3" ht="15.75" customHeight="1" x14ac:dyDescent="0.25">
      <c r="C290" s="38"/>
    </row>
    <row r="291" spans="3:3" ht="15.75" customHeight="1" x14ac:dyDescent="0.25">
      <c r="C291" s="38"/>
    </row>
    <row r="292" spans="3:3" ht="15.75" customHeight="1" x14ac:dyDescent="0.25">
      <c r="C292" s="38"/>
    </row>
    <row r="293" spans="3:3" ht="15.75" customHeight="1" x14ac:dyDescent="0.25">
      <c r="C293" s="38"/>
    </row>
    <row r="294" spans="3:3" ht="15.75" customHeight="1" x14ac:dyDescent="0.25">
      <c r="C294" s="38"/>
    </row>
    <row r="295" spans="3:3" ht="15.75" customHeight="1" x14ac:dyDescent="0.25">
      <c r="C295" s="38"/>
    </row>
    <row r="296" spans="3:3" ht="15.75" customHeight="1" x14ac:dyDescent="0.25">
      <c r="C296" s="38"/>
    </row>
    <row r="297" spans="3:3" ht="15.75" customHeight="1" x14ac:dyDescent="0.25">
      <c r="C297" s="38"/>
    </row>
    <row r="298" spans="3:3" ht="15.75" customHeight="1" x14ac:dyDescent="0.25">
      <c r="C298" s="38"/>
    </row>
    <row r="299" spans="3:3" ht="15.75" customHeight="1" x14ac:dyDescent="0.25">
      <c r="C299" s="38"/>
    </row>
    <row r="300" spans="3:3" ht="15.75" customHeight="1" x14ac:dyDescent="0.25">
      <c r="C300" s="38"/>
    </row>
    <row r="301" spans="3:3" ht="15.75" customHeight="1" x14ac:dyDescent="0.25">
      <c r="C301" s="38"/>
    </row>
    <row r="302" spans="3:3" ht="15.75" customHeight="1" x14ac:dyDescent="0.25">
      <c r="C302" s="38"/>
    </row>
    <row r="303" spans="3:3" ht="15.75" customHeight="1" x14ac:dyDescent="0.25">
      <c r="C303" s="38"/>
    </row>
    <row r="304" spans="3:3" ht="15.75" customHeight="1" x14ac:dyDescent="0.25">
      <c r="C304" s="38"/>
    </row>
    <row r="305" spans="3:3" ht="15.75" customHeight="1" x14ac:dyDescent="0.25">
      <c r="C305" s="38"/>
    </row>
    <row r="306" spans="3:3" ht="15.75" customHeight="1" x14ac:dyDescent="0.25">
      <c r="C306" s="38"/>
    </row>
    <row r="307" spans="3:3" ht="15.75" customHeight="1" x14ac:dyDescent="0.25">
      <c r="C307" s="38"/>
    </row>
    <row r="308" spans="3:3" ht="15.75" customHeight="1" x14ac:dyDescent="0.25">
      <c r="C308" s="38"/>
    </row>
    <row r="309" spans="3:3" ht="15.75" customHeight="1" x14ac:dyDescent="0.25">
      <c r="C309" s="38"/>
    </row>
    <row r="310" spans="3:3" ht="15.75" customHeight="1" x14ac:dyDescent="0.25">
      <c r="C310" s="38"/>
    </row>
    <row r="311" spans="3:3" ht="15.75" customHeight="1" x14ac:dyDescent="0.25">
      <c r="C311" s="38"/>
    </row>
    <row r="312" spans="3:3" ht="15.75" customHeight="1" x14ac:dyDescent="0.25">
      <c r="C312" s="38"/>
    </row>
    <row r="313" spans="3:3" ht="15.75" customHeight="1" x14ac:dyDescent="0.25">
      <c r="C313" s="38"/>
    </row>
    <row r="314" spans="3:3" ht="15.75" customHeight="1" x14ac:dyDescent="0.25">
      <c r="C314" s="38"/>
    </row>
    <row r="315" spans="3:3" ht="15.75" customHeight="1" x14ac:dyDescent="0.25">
      <c r="C315" s="38"/>
    </row>
    <row r="316" spans="3:3" ht="15.75" customHeight="1" x14ac:dyDescent="0.25">
      <c r="C316" s="38"/>
    </row>
    <row r="317" spans="3:3" ht="15.75" customHeight="1" x14ac:dyDescent="0.25">
      <c r="C317" s="38"/>
    </row>
    <row r="318" spans="3:3" ht="15.75" customHeight="1" x14ac:dyDescent="0.25">
      <c r="C318" s="38"/>
    </row>
    <row r="319" spans="3:3" ht="15.75" customHeight="1" x14ac:dyDescent="0.25">
      <c r="C319" s="38"/>
    </row>
    <row r="320" spans="3:3" ht="15.75" customHeight="1" x14ac:dyDescent="0.25">
      <c r="C320" s="38"/>
    </row>
    <row r="321" spans="3:3" ht="15.75" customHeight="1" x14ac:dyDescent="0.25">
      <c r="C321" s="38"/>
    </row>
    <row r="322" spans="3:3" ht="15.75" customHeight="1" x14ac:dyDescent="0.25">
      <c r="C322" s="38"/>
    </row>
    <row r="323" spans="3:3" ht="15.75" customHeight="1" x14ac:dyDescent="0.25">
      <c r="C323" s="38"/>
    </row>
    <row r="324" spans="3:3" ht="15.75" customHeight="1" x14ac:dyDescent="0.25">
      <c r="C324" s="38"/>
    </row>
    <row r="325" spans="3:3" ht="15.75" customHeight="1" x14ac:dyDescent="0.25">
      <c r="C325" s="38"/>
    </row>
    <row r="326" spans="3:3" ht="15.75" customHeight="1" x14ac:dyDescent="0.25">
      <c r="C326" s="38"/>
    </row>
    <row r="327" spans="3:3" ht="15.75" customHeight="1" x14ac:dyDescent="0.25">
      <c r="C327" s="38"/>
    </row>
    <row r="328" spans="3:3" ht="15.75" customHeight="1" x14ac:dyDescent="0.25">
      <c r="C328" s="38"/>
    </row>
    <row r="329" spans="3:3" ht="15.75" customHeight="1" x14ac:dyDescent="0.25">
      <c r="C329" s="38"/>
    </row>
    <row r="330" spans="3:3" ht="15.75" customHeight="1" x14ac:dyDescent="0.25">
      <c r="C330" s="38"/>
    </row>
    <row r="331" spans="3:3" ht="15.75" customHeight="1" x14ac:dyDescent="0.25">
      <c r="C331" s="38"/>
    </row>
    <row r="332" spans="3:3" ht="15.75" customHeight="1" x14ac:dyDescent="0.25">
      <c r="C332" s="38"/>
    </row>
    <row r="333" spans="3:3" ht="15.75" customHeight="1" x14ac:dyDescent="0.25">
      <c r="C333" s="38"/>
    </row>
    <row r="334" spans="3:3" ht="15.75" customHeight="1" x14ac:dyDescent="0.25">
      <c r="C334" s="38"/>
    </row>
    <row r="335" spans="3:3" ht="15.75" customHeight="1" x14ac:dyDescent="0.25">
      <c r="C335" s="38"/>
    </row>
    <row r="336" spans="3:3" ht="15.75" customHeight="1" x14ac:dyDescent="0.25">
      <c r="C336" s="38"/>
    </row>
    <row r="337" spans="3:3" ht="15.75" customHeight="1" x14ac:dyDescent="0.25">
      <c r="C337" s="38"/>
    </row>
    <row r="338" spans="3:3" ht="15.75" customHeight="1" x14ac:dyDescent="0.25">
      <c r="C338" s="38"/>
    </row>
    <row r="339" spans="3:3" ht="15.75" customHeight="1" x14ac:dyDescent="0.25">
      <c r="C339" s="38"/>
    </row>
    <row r="340" spans="3:3" ht="15.75" customHeight="1" x14ac:dyDescent="0.25">
      <c r="C340" s="38"/>
    </row>
    <row r="341" spans="3:3" ht="15.75" customHeight="1" x14ac:dyDescent="0.25">
      <c r="C341" s="38"/>
    </row>
    <row r="342" spans="3:3" ht="15.75" customHeight="1" x14ac:dyDescent="0.25">
      <c r="C342" s="38"/>
    </row>
    <row r="343" spans="3:3" ht="15.75" customHeight="1" x14ac:dyDescent="0.25">
      <c r="C343" s="38"/>
    </row>
    <row r="344" spans="3:3" ht="15.75" customHeight="1" x14ac:dyDescent="0.25">
      <c r="C344" s="38"/>
    </row>
    <row r="345" spans="3:3" ht="15.75" customHeight="1" x14ac:dyDescent="0.25">
      <c r="C345" s="38"/>
    </row>
    <row r="346" spans="3:3" ht="15.75" customHeight="1" x14ac:dyDescent="0.25">
      <c r="C346" s="38"/>
    </row>
    <row r="347" spans="3:3" ht="15.75" customHeight="1" x14ac:dyDescent="0.25">
      <c r="C347" s="38"/>
    </row>
    <row r="348" spans="3:3" ht="15.75" customHeight="1" x14ac:dyDescent="0.25">
      <c r="C348" s="38"/>
    </row>
    <row r="349" spans="3:3" ht="15.75" customHeight="1" x14ac:dyDescent="0.25">
      <c r="C349" s="38"/>
    </row>
    <row r="350" spans="3:3" ht="15.75" customHeight="1" x14ac:dyDescent="0.25">
      <c r="C350" s="38"/>
    </row>
    <row r="351" spans="3:3" ht="15.75" customHeight="1" x14ac:dyDescent="0.25">
      <c r="C351" s="38"/>
    </row>
    <row r="352" spans="3:3" ht="15.75" customHeight="1" x14ac:dyDescent="0.25">
      <c r="C352" s="38"/>
    </row>
    <row r="353" spans="3:3" ht="15.75" customHeight="1" x14ac:dyDescent="0.25">
      <c r="C353" s="38"/>
    </row>
    <row r="354" spans="3:3" ht="15.75" customHeight="1" x14ac:dyDescent="0.25">
      <c r="C354" s="38"/>
    </row>
    <row r="355" spans="3:3" ht="15.75" customHeight="1" x14ac:dyDescent="0.25">
      <c r="C355" s="38"/>
    </row>
    <row r="356" spans="3:3" ht="15.75" customHeight="1" x14ac:dyDescent="0.25">
      <c r="C356" s="38"/>
    </row>
    <row r="357" spans="3:3" ht="15.75" customHeight="1" x14ac:dyDescent="0.25">
      <c r="C357" s="38"/>
    </row>
    <row r="358" spans="3:3" ht="15.75" customHeight="1" x14ac:dyDescent="0.25">
      <c r="C358" s="38"/>
    </row>
    <row r="359" spans="3:3" ht="15.75" customHeight="1" x14ac:dyDescent="0.25">
      <c r="C359" s="38"/>
    </row>
    <row r="360" spans="3:3" ht="15.75" customHeight="1" x14ac:dyDescent="0.25">
      <c r="C360" s="38"/>
    </row>
    <row r="361" spans="3:3" ht="15.75" customHeight="1" x14ac:dyDescent="0.25">
      <c r="C361" s="38"/>
    </row>
    <row r="362" spans="3:3" ht="15.75" customHeight="1" x14ac:dyDescent="0.25">
      <c r="C362" s="38"/>
    </row>
    <row r="363" spans="3:3" ht="15.75" customHeight="1" x14ac:dyDescent="0.25">
      <c r="C363" s="38"/>
    </row>
    <row r="364" spans="3:3" ht="15.75" customHeight="1" x14ac:dyDescent="0.25">
      <c r="C364" s="38"/>
    </row>
    <row r="365" spans="3:3" ht="15.75" customHeight="1" x14ac:dyDescent="0.25">
      <c r="C365" s="38"/>
    </row>
    <row r="366" spans="3:3" ht="15.75" customHeight="1" x14ac:dyDescent="0.25">
      <c r="C366" s="38"/>
    </row>
    <row r="367" spans="3:3" ht="15.75" customHeight="1" x14ac:dyDescent="0.25">
      <c r="C367" s="38"/>
    </row>
    <row r="368" spans="3:3" ht="15.75" customHeight="1" x14ac:dyDescent="0.25">
      <c r="C368" s="38"/>
    </row>
    <row r="369" spans="3:3" ht="15.75" customHeight="1" x14ac:dyDescent="0.25">
      <c r="C369" s="38"/>
    </row>
    <row r="370" spans="3:3" ht="15.75" customHeight="1" x14ac:dyDescent="0.25">
      <c r="C370" s="38"/>
    </row>
    <row r="371" spans="3:3" ht="15.75" customHeight="1" x14ac:dyDescent="0.25">
      <c r="C371" s="38"/>
    </row>
    <row r="372" spans="3:3" ht="15.75" customHeight="1" x14ac:dyDescent="0.25">
      <c r="C372" s="38"/>
    </row>
    <row r="373" spans="3:3" ht="15.75" customHeight="1" x14ac:dyDescent="0.25">
      <c r="C373" s="38"/>
    </row>
    <row r="374" spans="3:3" ht="15.75" customHeight="1" x14ac:dyDescent="0.25">
      <c r="C374" s="38"/>
    </row>
    <row r="375" spans="3:3" ht="15.75" customHeight="1" x14ac:dyDescent="0.25">
      <c r="C375" s="38"/>
    </row>
    <row r="376" spans="3:3" ht="15.75" customHeight="1" x14ac:dyDescent="0.25">
      <c r="C376" s="38"/>
    </row>
    <row r="377" spans="3:3" ht="15.75" customHeight="1" x14ac:dyDescent="0.25">
      <c r="C377" s="38"/>
    </row>
    <row r="378" spans="3:3" ht="15.75" customHeight="1" x14ac:dyDescent="0.25">
      <c r="C378" s="38"/>
    </row>
    <row r="379" spans="3:3" ht="15.75" customHeight="1" x14ac:dyDescent="0.25">
      <c r="C379" s="38"/>
    </row>
    <row r="380" spans="3:3" ht="15.75" customHeight="1" x14ac:dyDescent="0.25">
      <c r="C380" s="38"/>
    </row>
    <row r="381" spans="3:3" ht="15.75" customHeight="1" x14ac:dyDescent="0.25">
      <c r="C381" s="38"/>
    </row>
    <row r="382" spans="3:3" ht="15.75" customHeight="1" x14ac:dyDescent="0.25">
      <c r="C382" s="38"/>
    </row>
    <row r="383" spans="3:3" ht="15.75" customHeight="1" x14ac:dyDescent="0.25">
      <c r="C383" s="38"/>
    </row>
    <row r="384" spans="3:3" ht="15.75" customHeight="1" x14ac:dyDescent="0.25">
      <c r="C384" s="38"/>
    </row>
    <row r="385" spans="3:3" ht="15.75" customHeight="1" x14ac:dyDescent="0.25">
      <c r="C385" s="38"/>
    </row>
    <row r="386" spans="3:3" ht="15.75" customHeight="1" x14ac:dyDescent="0.25">
      <c r="C386" s="38"/>
    </row>
    <row r="387" spans="3:3" ht="15.75" customHeight="1" x14ac:dyDescent="0.25">
      <c r="C387" s="38"/>
    </row>
    <row r="388" spans="3:3" ht="15.75" customHeight="1" x14ac:dyDescent="0.25">
      <c r="C388" s="38"/>
    </row>
    <row r="389" spans="3:3" ht="15.75" customHeight="1" x14ac:dyDescent="0.25">
      <c r="C389" s="38"/>
    </row>
    <row r="390" spans="3:3" ht="15.75" customHeight="1" x14ac:dyDescent="0.25">
      <c r="C390" s="38"/>
    </row>
    <row r="391" spans="3:3" ht="15.75" customHeight="1" x14ac:dyDescent="0.25">
      <c r="C391" s="38"/>
    </row>
    <row r="392" spans="3:3" ht="15.75" customHeight="1" x14ac:dyDescent="0.25">
      <c r="C392" s="38"/>
    </row>
    <row r="393" spans="3:3" ht="15.75" customHeight="1" x14ac:dyDescent="0.25">
      <c r="C393" s="38"/>
    </row>
    <row r="394" spans="3:3" ht="15.75" customHeight="1" x14ac:dyDescent="0.25">
      <c r="C394" s="38"/>
    </row>
    <row r="395" spans="3:3" ht="15.75" customHeight="1" x14ac:dyDescent="0.25">
      <c r="C395" s="38"/>
    </row>
    <row r="396" spans="3:3" ht="15.75" customHeight="1" x14ac:dyDescent="0.25">
      <c r="C396" s="38"/>
    </row>
    <row r="397" spans="3:3" ht="15.75" customHeight="1" x14ac:dyDescent="0.25">
      <c r="C397" s="38"/>
    </row>
    <row r="398" spans="3:3" ht="15.75" customHeight="1" x14ac:dyDescent="0.25">
      <c r="C398" s="38"/>
    </row>
    <row r="399" spans="3:3" ht="15.75" customHeight="1" x14ac:dyDescent="0.25">
      <c r="C399" s="38"/>
    </row>
    <row r="400" spans="3:3" ht="15.75" customHeight="1" x14ac:dyDescent="0.25">
      <c r="C400" s="38"/>
    </row>
    <row r="401" spans="3:3" ht="15.75" customHeight="1" x14ac:dyDescent="0.25">
      <c r="C401" s="38"/>
    </row>
    <row r="402" spans="3:3" ht="15.75" customHeight="1" x14ac:dyDescent="0.25">
      <c r="C402" s="38"/>
    </row>
    <row r="403" spans="3:3" ht="15.75" customHeight="1" x14ac:dyDescent="0.25">
      <c r="C403" s="38"/>
    </row>
    <row r="404" spans="3:3" ht="15.75" customHeight="1" x14ac:dyDescent="0.25">
      <c r="C404" s="38"/>
    </row>
    <row r="405" spans="3:3" ht="15.75" customHeight="1" x14ac:dyDescent="0.25">
      <c r="C405" s="38"/>
    </row>
    <row r="406" spans="3:3" ht="15.75" customHeight="1" x14ac:dyDescent="0.25">
      <c r="C406" s="38"/>
    </row>
    <row r="407" spans="3:3" ht="15.75" customHeight="1" x14ac:dyDescent="0.25">
      <c r="C407" s="38"/>
    </row>
    <row r="408" spans="3:3" ht="15.75" customHeight="1" x14ac:dyDescent="0.25">
      <c r="C408" s="38"/>
    </row>
    <row r="409" spans="3:3" ht="15.75" customHeight="1" x14ac:dyDescent="0.25">
      <c r="C409" s="38"/>
    </row>
    <row r="410" spans="3:3" ht="15.75" customHeight="1" x14ac:dyDescent="0.25">
      <c r="C410" s="38"/>
    </row>
    <row r="411" spans="3:3" ht="15.75" customHeight="1" x14ac:dyDescent="0.25">
      <c r="C411" s="38"/>
    </row>
    <row r="412" spans="3:3" ht="15.75" customHeight="1" x14ac:dyDescent="0.25">
      <c r="C412" s="38"/>
    </row>
    <row r="413" spans="3:3" ht="15.75" customHeight="1" x14ac:dyDescent="0.25">
      <c r="C413" s="38"/>
    </row>
    <row r="414" spans="3:3" ht="15.75" customHeight="1" x14ac:dyDescent="0.25">
      <c r="C414" s="38"/>
    </row>
    <row r="415" spans="3:3" ht="15.75" customHeight="1" x14ac:dyDescent="0.25">
      <c r="C415" s="38"/>
    </row>
    <row r="416" spans="3:3" ht="15.75" customHeight="1" x14ac:dyDescent="0.25">
      <c r="C416" s="38"/>
    </row>
    <row r="417" spans="3:3" ht="15.75" customHeight="1" x14ac:dyDescent="0.25">
      <c r="C417" s="38"/>
    </row>
    <row r="418" spans="3:3" ht="15.75" customHeight="1" x14ac:dyDescent="0.25">
      <c r="C418" s="38"/>
    </row>
    <row r="419" spans="3:3" ht="15.75" customHeight="1" x14ac:dyDescent="0.25">
      <c r="C419" s="38"/>
    </row>
    <row r="420" spans="3:3" ht="15.75" customHeight="1" x14ac:dyDescent="0.25">
      <c r="C420" s="38"/>
    </row>
    <row r="421" spans="3:3" ht="15.75" customHeight="1" x14ac:dyDescent="0.25">
      <c r="C421" s="38"/>
    </row>
    <row r="422" spans="3:3" ht="15.75" customHeight="1" x14ac:dyDescent="0.25">
      <c r="C422" s="38"/>
    </row>
    <row r="423" spans="3:3" ht="15.75" customHeight="1" x14ac:dyDescent="0.25">
      <c r="C423" s="38"/>
    </row>
    <row r="424" spans="3:3" ht="15.75" customHeight="1" x14ac:dyDescent="0.25">
      <c r="C424" s="38"/>
    </row>
    <row r="425" spans="3:3" ht="15.75" customHeight="1" x14ac:dyDescent="0.25">
      <c r="C425" s="38"/>
    </row>
    <row r="426" spans="3:3" ht="15.75" customHeight="1" x14ac:dyDescent="0.25">
      <c r="C426" s="38"/>
    </row>
    <row r="427" spans="3:3" ht="15.75" customHeight="1" x14ac:dyDescent="0.25">
      <c r="C427" s="38"/>
    </row>
    <row r="428" spans="3:3" ht="15.75" customHeight="1" x14ac:dyDescent="0.25">
      <c r="C428" s="38"/>
    </row>
    <row r="429" spans="3:3" ht="15.75" customHeight="1" x14ac:dyDescent="0.25">
      <c r="C429" s="38"/>
    </row>
    <row r="430" spans="3:3" ht="15.75" customHeight="1" x14ac:dyDescent="0.25">
      <c r="C430" s="38"/>
    </row>
    <row r="431" spans="3:3" ht="15.75" customHeight="1" x14ac:dyDescent="0.25">
      <c r="C431" s="38"/>
    </row>
    <row r="432" spans="3:3" ht="15.75" customHeight="1" x14ac:dyDescent="0.25">
      <c r="C432" s="38"/>
    </row>
    <row r="433" spans="3:3" ht="15.75" customHeight="1" x14ac:dyDescent="0.25">
      <c r="C433" s="38"/>
    </row>
    <row r="434" spans="3:3" ht="15.75" customHeight="1" x14ac:dyDescent="0.25">
      <c r="C434" s="38"/>
    </row>
    <row r="435" spans="3:3" ht="15.75" customHeight="1" x14ac:dyDescent="0.25">
      <c r="C435" s="38"/>
    </row>
    <row r="436" spans="3:3" ht="15.75" customHeight="1" x14ac:dyDescent="0.25">
      <c r="C436" s="38"/>
    </row>
    <row r="437" spans="3:3" ht="15.75" customHeight="1" x14ac:dyDescent="0.25">
      <c r="C437" s="38"/>
    </row>
    <row r="438" spans="3:3" ht="15.75" customHeight="1" x14ac:dyDescent="0.25">
      <c r="C438" s="38"/>
    </row>
    <row r="439" spans="3:3" ht="15.75" customHeight="1" x14ac:dyDescent="0.25">
      <c r="C439" s="38"/>
    </row>
    <row r="440" spans="3:3" ht="15.75" customHeight="1" x14ac:dyDescent="0.25">
      <c r="C440" s="38"/>
    </row>
    <row r="441" spans="3:3" ht="15.75" customHeight="1" x14ac:dyDescent="0.25">
      <c r="C441" s="38"/>
    </row>
    <row r="442" spans="3:3" ht="15.75" customHeight="1" x14ac:dyDescent="0.25">
      <c r="C442" s="38"/>
    </row>
    <row r="443" spans="3:3" ht="15.75" customHeight="1" x14ac:dyDescent="0.25">
      <c r="C443" s="38"/>
    </row>
    <row r="444" spans="3:3" ht="15.75" customHeight="1" x14ac:dyDescent="0.25">
      <c r="C444" s="38"/>
    </row>
    <row r="445" spans="3:3" ht="15.75" customHeight="1" x14ac:dyDescent="0.25">
      <c r="C445" s="38"/>
    </row>
    <row r="446" spans="3:3" ht="15.75" customHeight="1" x14ac:dyDescent="0.25">
      <c r="C446" s="38"/>
    </row>
    <row r="447" spans="3:3" ht="15.75" customHeight="1" x14ac:dyDescent="0.25">
      <c r="C447" s="38"/>
    </row>
    <row r="448" spans="3:3" ht="15.75" customHeight="1" x14ac:dyDescent="0.25">
      <c r="C448" s="38"/>
    </row>
    <row r="449" spans="3:3" ht="15.75" customHeight="1" x14ac:dyDescent="0.25">
      <c r="C449" s="38"/>
    </row>
    <row r="450" spans="3:3" ht="15.75" customHeight="1" x14ac:dyDescent="0.25">
      <c r="C450" s="38"/>
    </row>
    <row r="451" spans="3:3" ht="15.75" customHeight="1" x14ac:dyDescent="0.25">
      <c r="C451" s="38"/>
    </row>
    <row r="452" spans="3:3" ht="15.75" customHeight="1" x14ac:dyDescent="0.25">
      <c r="C452" s="38"/>
    </row>
    <row r="453" spans="3:3" ht="15.75" customHeight="1" x14ac:dyDescent="0.25">
      <c r="C453" s="38"/>
    </row>
    <row r="454" spans="3:3" ht="15.75" customHeight="1" x14ac:dyDescent="0.25">
      <c r="C454" s="38"/>
    </row>
    <row r="455" spans="3:3" ht="15.75" customHeight="1" x14ac:dyDescent="0.25">
      <c r="C455" s="38"/>
    </row>
    <row r="456" spans="3:3" ht="15.75" customHeight="1" x14ac:dyDescent="0.25">
      <c r="C456" s="38"/>
    </row>
    <row r="457" spans="3:3" ht="15.75" customHeight="1" x14ac:dyDescent="0.25">
      <c r="C457" s="38"/>
    </row>
    <row r="458" spans="3:3" ht="15.75" customHeight="1" x14ac:dyDescent="0.25">
      <c r="C458" s="38"/>
    </row>
    <row r="459" spans="3:3" ht="15.75" customHeight="1" x14ac:dyDescent="0.25">
      <c r="C459" s="38"/>
    </row>
    <row r="460" spans="3:3" ht="15.75" customHeight="1" x14ac:dyDescent="0.25">
      <c r="C460" s="38"/>
    </row>
    <row r="461" spans="3:3" ht="15.75" customHeight="1" x14ac:dyDescent="0.25">
      <c r="C461" s="38"/>
    </row>
    <row r="462" spans="3:3" ht="15.75" customHeight="1" x14ac:dyDescent="0.25">
      <c r="C462" s="38"/>
    </row>
    <row r="463" spans="3:3" ht="15.75" customHeight="1" x14ac:dyDescent="0.25">
      <c r="C463" s="38"/>
    </row>
    <row r="464" spans="3:3" ht="15.75" customHeight="1" x14ac:dyDescent="0.25">
      <c r="C464" s="38"/>
    </row>
    <row r="465" spans="3:3" ht="15.75" customHeight="1" x14ac:dyDescent="0.25">
      <c r="C465" s="38"/>
    </row>
    <row r="466" spans="3:3" ht="15.75" customHeight="1" x14ac:dyDescent="0.25">
      <c r="C466" s="38"/>
    </row>
    <row r="467" spans="3:3" ht="15.75" customHeight="1" x14ac:dyDescent="0.25">
      <c r="C467" s="38"/>
    </row>
    <row r="468" spans="3:3" ht="15.75" customHeight="1" x14ac:dyDescent="0.25">
      <c r="C468" s="38"/>
    </row>
    <row r="469" spans="3:3" ht="15.75" customHeight="1" x14ac:dyDescent="0.25">
      <c r="C469" s="38"/>
    </row>
    <row r="470" spans="3:3" ht="15.75" customHeight="1" x14ac:dyDescent="0.25">
      <c r="C470" s="38"/>
    </row>
    <row r="471" spans="3:3" ht="15.75" customHeight="1" x14ac:dyDescent="0.25">
      <c r="C471" s="38"/>
    </row>
    <row r="472" spans="3:3" ht="15.75" customHeight="1" x14ac:dyDescent="0.25">
      <c r="C472" s="38"/>
    </row>
    <row r="473" spans="3:3" ht="15.75" customHeight="1" x14ac:dyDescent="0.25">
      <c r="C473" s="38"/>
    </row>
    <row r="474" spans="3:3" ht="15.75" customHeight="1" x14ac:dyDescent="0.25">
      <c r="C474" s="38"/>
    </row>
    <row r="475" spans="3:3" ht="15.75" customHeight="1" x14ac:dyDescent="0.25">
      <c r="C475" s="38"/>
    </row>
    <row r="476" spans="3:3" ht="15.75" customHeight="1" x14ac:dyDescent="0.25">
      <c r="C476" s="38"/>
    </row>
    <row r="477" spans="3:3" ht="15.75" customHeight="1" x14ac:dyDescent="0.25">
      <c r="C477" s="38"/>
    </row>
    <row r="478" spans="3:3" ht="15.75" customHeight="1" x14ac:dyDescent="0.25">
      <c r="C478" s="38"/>
    </row>
    <row r="479" spans="3:3" ht="15.75" customHeight="1" x14ac:dyDescent="0.25">
      <c r="C479" s="38"/>
    </row>
    <row r="480" spans="3:3" ht="15.75" customHeight="1" x14ac:dyDescent="0.25">
      <c r="C480" s="38"/>
    </row>
    <row r="481" spans="3:3" ht="15.75" customHeight="1" x14ac:dyDescent="0.25">
      <c r="C481" s="38"/>
    </row>
    <row r="482" spans="3:3" ht="15.75" customHeight="1" x14ac:dyDescent="0.25">
      <c r="C482" s="38"/>
    </row>
    <row r="483" spans="3:3" ht="15.75" customHeight="1" x14ac:dyDescent="0.25">
      <c r="C483" s="38"/>
    </row>
    <row r="484" spans="3:3" ht="15.75" customHeight="1" x14ac:dyDescent="0.25">
      <c r="C484" s="38"/>
    </row>
    <row r="485" spans="3:3" ht="15.75" customHeight="1" x14ac:dyDescent="0.25">
      <c r="C485" s="38"/>
    </row>
    <row r="486" spans="3:3" ht="15.75" customHeight="1" x14ac:dyDescent="0.25">
      <c r="C486" s="38"/>
    </row>
    <row r="487" spans="3:3" ht="15.75" customHeight="1" x14ac:dyDescent="0.25">
      <c r="C487" s="38"/>
    </row>
    <row r="488" spans="3:3" ht="15.75" customHeight="1" x14ac:dyDescent="0.25">
      <c r="C488" s="38"/>
    </row>
    <row r="489" spans="3:3" ht="15.75" customHeight="1" x14ac:dyDescent="0.25">
      <c r="C489" s="38"/>
    </row>
    <row r="490" spans="3:3" ht="15.75" customHeight="1" x14ac:dyDescent="0.25">
      <c r="C490" s="38"/>
    </row>
    <row r="491" spans="3:3" ht="15.75" customHeight="1" x14ac:dyDescent="0.25">
      <c r="C491" s="38"/>
    </row>
    <row r="492" spans="3:3" ht="15.75" customHeight="1" x14ac:dyDescent="0.25">
      <c r="C492" s="38"/>
    </row>
    <row r="493" spans="3:3" ht="15.75" customHeight="1" x14ac:dyDescent="0.25">
      <c r="C493" s="38"/>
    </row>
    <row r="494" spans="3:3" ht="15.75" customHeight="1" x14ac:dyDescent="0.25">
      <c r="C494" s="38"/>
    </row>
    <row r="495" spans="3:3" ht="15.75" customHeight="1" x14ac:dyDescent="0.25">
      <c r="C495" s="38"/>
    </row>
    <row r="496" spans="3:3" ht="15.75" customHeight="1" x14ac:dyDescent="0.25">
      <c r="C496" s="38"/>
    </row>
    <row r="497" spans="3:3" ht="15.75" customHeight="1" x14ac:dyDescent="0.25">
      <c r="C497" s="38"/>
    </row>
    <row r="498" spans="3:3" ht="15.75" customHeight="1" x14ac:dyDescent="0.25">
      <c r="C498" s="38"/>
    </row>
    <row r="499" spans="3:3" ht="15.75" customHeight="1" x14ac:dyDescent="0.25">
      <c r="C499" s="38"/>
    </row>
    <row r="500" spans="3:3" ht="15.75" customHeight="1" x14ac:dyDescent="0.25">
      <c r="C500" s="38"/>
    </row>
    <row r="501" spans="3:3" ht="15.75" customHeight="1" x14ac:dyDescent="0.25">
      <c r="C501" s="38"/>
    </row>
    <row r="502" spans="3:3" ht="15.75" customHeight="1" x14ac:dyDescent="0.25">
      <c r="C502" s="38"/>
    </row>
    <row r="503" spans="3:3" ht="15.75" customHeight="1" x14ac:dyDescent="0.25">
      <c r="C503" s="38"/>
    </row>
    <row r="504" spans="3:3" ht="15.75" customHeight="1" x14ac:dyDescent="0.25">
      <c r="C504" s="38"/>
    </row>
    <row r="505" spans="3:3" ht="15.75" customHeight="1" x14ac:dyDescent="0.25">
      <c r="C505" s="38"/>
    </row>
    <row r="506" spans="3:3" ht="15.75" customHeight="1" x14ac:dyDescent="0.25">
      <c r="C506" s="38"/>
    </row>
    <row r="507" spans="3:3" ht="15.75" customHeight="1" x14ac:dyDescent="0.25">
      <c r="C507" s="38"/>
    </row>
    <row r="508" spans="3:3" ht="15.75" customHeight="1" x14ac:dyDescent="0.25">
      <c r="C508" s="38"/>
    </row>
    <row r="509" spans="3:3" ht="15.75" customHeight="1" x14ac:dyDescent="0.25">
      <c r="C509" s="38"/>
    </row>
    <row r="510" spans="3:3" ht="15.75" customHeight="1" x14ac:dyDescent="0.25">
      <c r="C510" s="38"/>
    </row>
    <row r="511" spans="3:3" ht="15.75" customHeight="1" x14ac:dyDescent="0.25">
      <c r="C511" s="38"/>
    </row>
    <row r="512" spans="3:3" ht="15.75" customHeight="1" x14ac:dyDescent="0.25">
      <c r="C512" s="38"/>
    </row>
    <row r="513" spans="3:3" ht="15.75" customHeight="1" x14ac:dyDescent="0.25">
      <c r="C513" s="38"/>
    </row>
    <row r="514" spans="3:3" ht="15.75" customHeight="1" x14ac:dyDescent="0.25">
      <c r="C514" s="38"/>
    </row>
    <row r="515" spans="3:3" ht="15.75" customHeight="1" x14ac:dyDescent="0.25">
      <c r="C515" s="38"/>
    </row>
    <row r="516" spans="3:3" ht="15.75" customHeight="1" x14ac:dyDescent="0.25">
      <c r="C516" s="38"/>
    </row>
    <row r="517" spans="3:3" ht="15.75" customHeight="1" x14ac:dyDescent="0.25">
      <c r="C517" s="38"/>
    </row>
    <row r="518" spans="3:3" ht="15.75" customHeight="1" x14ac:dyDescent="0.25">
      <c r="C518" s="38"/>
    </row>
    <row r="519" spans="3:3" ht="15.75" customHeight="1" x14ac:dyDescent="0.25">
      <c r="C519" s="38"/>
    </row>
    <row r="520" spans="3:3" ht="15.75" customHeight="1" x14ac:dyDescent="0.25">
      <c r="C520" s="38"/>
    </row>
    <row r="521" spans="3:3" ht="15.75" customHeight="1" x14ac:dyDescent="0.25">
      <c r="C521" s="38"/>
    </row>
    <row r="522" spans="3:3" ht="15.75" customHeight="1" x14ac:dyDescent="0.25">
      <c r="C522" s="38"/>
    </row>
    <row r="523" spans="3:3" ht="15.75" customHeight="1" x14ac:dyDescent="0.25">
      <c r="C523" s="38"/>
    </row>
    <row r="524" spans="3:3" ht="15.75" customHeight="1" x14ac:dyDescent="0.25">
      <c r="C524" s="38"/>
    </row>
    <row r="525" spans="3:3" ht="15.75" customHeight="1" x14ac:dyDescent="0.25">
      <c r="C525" s="38"/>
    </row>
    <row r="526" spans="3:3" ht="15.75" customHeight="1" x14ac:dyDescent="0.25">
      <c r="C526" s="38"/>
    </row>
    <row r="527" spans="3:3" ht="15.75" customHeight="1" x14ac:dyDescent="0.25">
      <c r="C527" s="38"/>
    </row>
    <row r="528" spans="3:3" ht="15.75" customHeight="1" x14ac:dyDescent="0.25">
      <c r="C528" s="38"/>
    </row>
    <row r="529" spans="3:3" ht="15.75" customHeight="1" x14ac:dyDescent="0.25">
      <c r="C529" s="38"/>
    </row>
    <row r="530" spans="3:3" ht="15.75" customHeight="1" x14ac:dyDescent="0.25">
      <c r="C530" s="38"/>
    </row>
    <row r="531" spans="3:3" ht="15.75" customHeight="1" x14ac:dyDescent="0.25">
      <c r="C531" s="38"/>
    </row>
    <row r="532" spans="3:3" ht="15.75" customHeight="1" x14ac:dyDescent="0.25">
      <c r="C532" s="38"/>
    </row>
    <row r="533" spans="3:3" ht="15.75" customHeight="1" x14ac:dyDescent="0.25">
      <c r="C533" s="38"/>
    </row>
    <row r="534" spans="3:3" ht="15.75" customHeight="1" x14ac:dyDescent="0.25">
      <c r="C534" s="38"/>
    </row>
    <row r="535" spans="3:3" ht="15.75" customHeight="1" x14ac:dyDescent="0.25">
      <c r="C535" s="38"/>
    </row>
    <row r="536" spans="3:3" ht="15.75" customHeight="1" x14ac:dyDescent="0.25">
      <c r="C536" s="38"/>
    </row>
    <row r="537" spans="3:3" ht="15.75" customHeight="1" x14ac:dyDescent="0.25">
      <c r="C537" s="38"/>
    </row>
    <row r="538" spans="3:3" ht="15.75" customHeight="1" x14ac:dyDescent="0.25">
      <c r="C538" s="38"/>
    </row>
    <row r="539" spans="3:3" ht="15.75" customHeight="1" x14ac:dyDescent="0.25">
      <c r="C539" s="38"/>
    </row>
    <row r="540" spans="3:3" ht="15.75" customHeight="1" x14ac:dyDescent="0.25">
      <c r="C540" s="38"/>
    </row>
    <row r="541" spans="3:3" ht="15.75" customHeight="1" x14ac:dyDescent="0.25">
      <c r="C541" s="38"/>
    </row>
    <row r="542" spans="3:3" ht="15.75" customHeight="1" x14ac:dyDescent="0.25">
      <c r="C542" s="38"/>
    </row>
    <row r="543" spans="3:3" ht="15.75" customHeight="1" x14ac:dyDescent="0.25">
      <c r="C543" s="38"/>
    </row>
    <row r="544" spans="3:3" ht="15.75" customHeight="1" x14ac:dyDescent="0.25">
      <c r="C544" s="38"/>
    </row>
    <row r="545" spans="3:3" ht="15.75" customHeight="1" x14ac:dyDescent="0.25">
      <c r="C545" s="38"/>
    </row>
    <row r="546" spans="3:3" ht="15.75" customHeight="1" x14ac:dyDescent="0.25">
      <c r="C546" s="38"/>
    </row>
    <row r="547" spans="3:3" ht="15.75" customHeight="1" x14ac:dyDescent="0.25">
      <c r="C547" s="38"/>
    </row>
    <row r="548" spans="3:3" ht="15.75" customHeight="1" x14ac:dyDescent="0.25">
      <c r="C548" s="38"/>
    </row>
    <row r="549" spans="3:3" ht="15.75" customHeight="1" x14ac:dyDescent="0.25">
      <c r="C549" s="38"/>
    </row>
    <row r="550" spans="3:3" ht="15.75" customHeight="1" x14ac:dyDescent="0.25">
      <c r="C550" s="38"/>
    </row>
    <row r="551" spans="3:3" ht="15.75" customHeight="1" x14ac:dyDescent="0.25">
      <c r="C551" s="38"/>
    </row>
    <row r="552" spans="3:3" ht="15.75" customHeight="1" x14ac:dyDescent="0.25">
      <c r="C552" s="38"/>
    </row>
    <row r="553" spans="3:3" ht="15.75" customHeight="1" x14ac:dyDescent="0.25">
      <c r="C553" s="38"/>
    </row>
    <row r="554" spans="3:3" ht="15.75" customHeight="1" x14ac:dyDescent="0.25">
      <c r="C554" s="38"/>
    </row>
    <row r="555" spans="3:3" ht="15.75" customHeight="1" x14ac:dyDescent="0.25">
      <c r="C555" s="38"/>
    </row>
    <row r="556" spans="3:3" ht="15.75" customHeight="1" x14ac:dyDescent="0.25">
      <c r="C556" s="38"/>
    </row>
    <row r="557" spans="3:3" ht="15.75" customHeight="1" x14ac:dyDescent="0.25">
      <c r="C557" s="38"/>
    </row>
    <row r="558" spans="3:3" ht="15.75" customHeight="1" x14ac:dyDescent="0.25">
      <c r="C558" s="38"/>
    </row>
    <row r="559" spans="3:3" ht="15.75" customHeight="1" x14ac:dyDescent="0.25">
      <c r="C559" s="38"/>
    </row>
    <row r="560" spans="3:3" ht="15.75" customHeight="1" x14ac:dyDescent="0.25">
      <c r="C560" s="38"/>
    </row>
    <row r="561" spans="3:3" ht="15.75" customHeight="1" x14ac:dyDescent="0.25">
      <c r="C561" s="38"/>
    </row>
    <row r="562" spans="3:3" ht="15.75" customHeight="1" x14ac:dyDescent="0.25">
      <c r="C562" s="38"/>
    </row>
    <row r="563" spans="3:3" ht="15.75" customHeight="1" x14ac:dyDescent="0.25">
      <c r="C563" s="38"/>
    </row>
    <row r="564" spans="3:3" ht="15.75" customHeight="1" x14ac:dyDescent="0.25">
      <c r="C564" s="38"/>
    </row>
    <row r="565" spans="3:3" ht="15.75" customHeight="1" x14ac:dyDescent="0.25">
      <c r="C565" s="38"/>
    </row>
    <row r="566" spans="3:3" ht="15.75" customHeight="1" x14ac:dyDescent="0.25">
      <c r="C566" s="38"/>
    </row>
    <row r="567" spans="3:3" ht="15.75" customHeight="1" x14ac:dyDescent="0.25">
      <c r="C567" s="38"/>
    </row>
    <row r="568" spans="3:3" ht="15.75" customHeight="1" x14ac:dyDescent="0.25">
      <c r="C568" s="38"/>
    </row>
    <row r="569" spans="3:3" ht="15.75" customHeight="1" x14ac:dyDescent="0.25">
      <c r="C569" s="38"/>
    </row>
    <row r="570" spans="3:3" ht="15.75" customHeight="1" x14ac:dyDescent="0.25">
      <c r="C570" s="38"/>
    </row>
    <row r="571" spans="3:3" ht="15.75" customHeight="1" x14ac:dyDescent="0.25">
      <c r="C571" s="38"/>
    </row>
    <row r="572" spans="3:3" ht="15.75" customHeight="1" x14ac:dyDescent="0.25">
      <c r="C572" s="38"/>
    </row>
    <row r="573" spans="3:3" ht="15.75" customHeight="1" x14ac:dyDescent="0.25">
      <c r="C573" s="38"/>
    </row>
    <row r="574" spans="3:3" ht="15.75" customHeight="1" x14ac:dyDescent="0.25">
      <c r="C574" s="38"/>
    </row>
    <row r="575" spans="3:3" ht="15.75" customHeight="1" x14ac:dyDescent="0.25">
      <c r="C575" s="38"/>
    </row>
    <row r="576" spans="3:3" ht="15.75" customHeight="1" x14ac:dyDescent="0.25">
      <c r="C576" s="38"/>
    </row>
    <row r="577" spans="3:3" ht="15.75" customHeight="1" x14ac:dyDescent="0.25">
      <c r="C577" s="38"/>
    </row>
    <row r="578" spans="3:3" ht="15.75" customHeight="1" x14ac:dyDescent="0.25">
      <c r="C578" s="38"/>
    </row>
    <row r="579" spans="3:3" ht="15.75" customHeight="1" x14ac:dyDescent="0.25">
      <c r="C579" s="38"/>
    </row>
    <row r="580" spans="3:3" ht="15.75" customHeight="1" x14ac:dyDescent="0.25">
      <c r="C580" s="38"/>
    </row>
    <row r="581" spans="3:3" ht="15.75" customHeight="1" x14ac:dyDescent="0.25">
      <c r="C581" s="38"/>
    </row>
    <row r="582" spans="3:3" ht="15.75" customHeight="1" x14ac:dyDescent="0.25">
      <c r="C582" s="38"/>
    </row>
    <row r="583" spans="3:3" ht="15.75" customHeight="1" x14ac:dyDescent="0.25">
      <c r="C583" s="38"/>
    </row>
    <row r="584" spans="3:3" ht="15.75" customHeight="1" x14ac:dyDescent="0.25">
      <c r="C584" s="38"/>
    </row>
    <row r="585" spans="3:3" ht="15.75" customHeight="1" x14ac:dyDescent="0.25">
      <c r="C585" s="38"/>
    </row>
    <row r="586" spans="3:3" ht="15.75" customHeight="1" x14ac:dyDescent="0.25">
      <c r="C586" s="38"/>
    </row>
    <row r="587" spans="3:3" ht="15.75" customHeight="1" x14ac:dyDescent="0.25">
      <c r="C587" s="38"/>
    </row>
    <row r="588" spans="3:3" ht="15.75" customHeight="1" x14ac:dyDescent="0.25">
      <c r="C588" s="38"/>
    </row>
    <row r="589" spans="3:3" ht="15.75" customHeight="1" x14ac:dyDescent="0.25">
      <c r="C589" s="38"/>
    </row>
    <row r="590" spans="3:3" ht="15.75" customHeight="1" x14ac:dyDescent="0.25">
      <c r="C590" s="38"/>
    </row>
    <row r="591" spans="3:3" ht="15.75" customHeight="1" x14ac:dyDescent="0.25">
      <c r="C591" s="38"/>
    </row>
    <row r="592" spans="3:3" ht="15.75" customHeight="1" x14ac:dyDescent="0.25">
      <c r="C592" s="38"/>
    </row>
    <row r="593" spans="3:3" ht="15.75" customHeight="1" x14ac:dyDescent="0.25">
      <c r="C593" s="38"/>
    </row>
    <row r="594" spans="3:3" ht="15.75" customHeight="1" x14ac:dyDescent="0.25">
      <c r="C594" s="38"/>
    </row>
    <row r="595" spans="3:3" ht="15.75" customHeight="1" x14ac:dyDescent="0.25">
      <c r="C595" s="38"/>
    </row>
    <row r="596" spans="3:3" ht="15.75" customHeight="1" x14ac:dyDescent="0.25">
      <c r="C596" s="38"/>
    </row>
    <row r="597" spans="3:3" ht="15.75" customHeight="1" x14ac:dyDescent="0.25">
      <c r="C597" s="38"/>
    </row>
    <row r="598" spans="3:3" ht="15.75" customHeight="1" x14ac:dyDescent="0.25">
      <c r="C598" s="38"/>
    </row>
    <row r="599" spans="3:3" ht="15.75" customHeight="1" x14ac:dyDescent="0.25">
      <c r="C599" s="38"/>
    </row>
    <row r="600" spans="3:3" ht="15.75" customHeight="1" x14ac:dyDescent="0.25">
      <c r="C600" s="38"/>
    </row>
    <row r="601" spans="3:3" ht="15.75" customHeight="1" x14ac:dyDescent="0.25">
      <c r="C601" s="38"/>
    </row>
    <row r="602" spans="3:3" ht="15.75" customHeight="1" x14ac:dyDescent="0.25">
      <c r="C602" s="38"/>
    </row>
    <row r="603" spans="3:3" ht="15.75" customHeight="1" x14ac:dyDescent="0.25">
      <c r="C603" s="38"/>
    </row>
    <row r="604" spans="3:3" ht="15.75" customHeight="1" x14ac:dyDescent="0.25">
      <c r="C604" s="38"/>
    </row>
    <row r="605" spans="3:3" ht="15.75" customHeight="1" x14ac:dyDescent="0.25">
      <c r="C605" s="38"/>
    </row>
    <row r="606" spans="3:3" ht="15.75" customHeight="1" x14ac:dyDescent="0.25">
      <c r="C606" s="38"/>
    </row>
    <row r="607" spans="3:3" ht="15.75" customHeight="1" x14ac:dyDescent="0.25">
      <c r="C607" s="38"/>
    </row>
    <row r="608" spans="3:3" ht="15.75" customHeight="1" x14ac:dyDescent="0.25">
      <c r="C608" s="38"/>
    </row>
    <row r="609" spans="3:3" ht="15.75" customHeight="1" x14ac:dyDescent="0.25">
      <c r="C609" s="38"/>
    </row>
    <row r="610" spans="3:3" ht="15.75" customHeight="1" x14ac:dyDescent="0.25">
      <c r="C610" s="38"/>
    </row>
    <row r="611" spans="3:3" ht="15.75" customHeight="1" x14ac:dyDescent="0.25">
      <c r="C611" s="38"/>
    </row>
    <row r="612" spans="3:3" ht="15.75" customHeight="1" x14ac:dyDescent="0.25">
      <c r="C612" s="38"/>
    </row>
    <row r="613" spans="3:3" ht="15.75" customHeight="1" x14ac:dyDescent="0.25">
      <c r="C613" s="38"/>
    </row>
    <row r="614" spans="3:3" ht="15.75" customHeight="1" x14ac:dyDescent="0.25">
      <c r="C614" s="38"/>
    </row>
    <row r="615" spans="3:3" ht="15.75" customHeight="1" x14ac:dyDescent="0.25">
      <c r="C615" s="38"/>
    </row>
    <row r="616" spans="3:3" ht="15.75" customHeight="1" x14ac:dyDescent="0.25">
      <c r="C616" s="38"/>
    </row>
    <row r="617" spans="3:3" ht="15.75" customHeight="1" x14ac:dyDescent="0.25">
      <c r="C617" s="38"/>
    </row>
    <row r="618" spans="3:3" ht="15.75" customHeight="1" x14ac:dyDescent="0.25">
      <c r="C618" s="38"/>
    </row>
    <row r="619" spans="3:3" ht="15.75" customHeight="1" x14ac:dyDescent="0.25">
      <c r="C619" s="38"/>
    </row>
    <row r="620" spans="3:3" ht="15.75" customHeight="1" x14ac:dyDescent="0.25">
      <c r="C620" s="38"/>
    </row>
    <row r="621" spans="3:3" ht="15.75" customHeight="1" x14ac:dyDescent="0.25">
      <c r="C621" s="38"/>
    </row>
    <row r="622" spans="3:3" ht="15.75" customHeight="1" x14ac:dyDescent="0.25">
      <c r="C622" s="38"/>
    </row>
    <row r="623" spans="3:3" ht="15.75" customHeight="1" x14ac:dyDescent="0.25">
      <c r="C623" s="38"/>
    </row>
    <row r="624" spans="3:3" ht="15.75" customHeight="1" x14ac:dyDescent="0.25">
      <c r="C624" s="38"/>
    </row>
    <row r="625" spans="3:3" ht="15.75" customHeight="1" x14ac:dyDescent="0.25">
      <c r="C625" s="38"/>
    </row>
    <row r="626" spans="3:3" ht="15.75" customHeight="1" x14ac:dyDescent="0.25">
      <c r="C626" s="38"/>
    </row>
    <row r="627" spans="3:3" ht="15.75" customHeight="1" x14ac:dyDescent="0.25">
      <c r="C627" s="38"/>
    </row>
    <row r="628" spans="3:3" ht="15.75" customHeight="1" x14ac:dyDescent="0.25">
      <c r="C628" s="38"/>
    </row>
    <row r="629" spans="3:3" ht="15.75" customHeight="1" x14ac:dyDescent="0.25">
      <c r="C629" s="38"/>
    </row>
    <row r="630" spans="3:3" ht="15.75" customHeight="1" x14ac:dyDescent="0.25">
      <c r="C630" s="38"/>
    </row>
    <row r="631" spans="3:3" ht="15.75" customHeight="1" x14ac:dyDescent="0.25">
      <c r="C631" s="38"/>
    </row>
    <row r="632" spans="3:3" ht="15.75" customHeight="1" x14ac:dyDescent="0.25">
      <c r="C632" s="38"/>
    </row>
    <row r="633" spans="3:3" ht="15.75" customHeight="1" x14ac:dyDescent="0.25">
      <c r="C633" s="38"/>
    </row>
    <row r="634" spans="3:3" ht="15.75" customHeight="1" x14ac:dyDescent="0.25">
      <c r="C634" s="38"/>
    </row>
    <row r="635" spans="3:3" ht="15.75" customHeight="1" x14ac:dyDescent="0.25">
      <c r="C635" s="38"/>
    </row>
    <row r="636" spans="3:3" ht="15.75" customHeight="1" x14ac:dyDescent="0.25">
      <c r="C636" s="38"/>
    </row>
    <row r="637" spans="3:3" ht="15.75" customHeight="1" x14ac:dyDescent="0.25">
      <c r="C637" s="38"/>
    </row>
    <row r="638" spans="3:3" ht="15.75" customHeight="1" x14ac:dyDescent="0.25">
      <c r="C638" s="38"/>
    </row>
    <row r="639" spans="3:3" ht="15.75" customHeight="1" x14ac:dyDescent="0.25">
      <c r="C639" s="38"/>
    </row>
    <row r="640" spans="3:3" ht="15.75" customHeight="1" x14ac:dyDescent="0.25">
      <c r="C640" s="38"/>
    </row>
    <row r="641" spans="3:3" ht="15.75" customHeight="1" x14ac:dyDescent="0.25">
      <c r="C641" s="38"/>
    </row>
    <row r="642" spans="3:3" ht="15.75" customHeight="1" x14ac:dyDescent="0.25">
      <c r="C642" s="38"/>
    </row>
    <row r="643" spans="3:3" ht="15.75" customHeight="1" x14ac:dyDescent="0.25">
      <c r="C643" s="38"/>
    </row>
    <row r="644" spans="3:3" ht="15.75" customHeight="1" x14ac:dyDescent="0.25">
      <c r="C644" s="38"/>
    </row>
    <row r="645" spans="3:3" ht="15.75" customHeight="1" x14ac:dyDescent="0.25">
      <c r="C645" s="38"/>
    </row>
    <row r="646" spans="3:3" ht="15.75" customHeight="1" x14ac:dyDescent="0.25">
      <c r="C646" s="38"/>
    </row>
    <row r="647" spans="3:3" ht="15.75" customHeight="1" x14ac:dyDescent="0.25">
      <c r="C647" s="38"/>
    </row>
    <row r="648" spans="3:3" ht="15.75" customHeight="1" x14ac:dyDescent="0.25">
      <c r="C648" s="38"/>
    </row>
    <row r="649" spans="3:3" ht="15.75" customHeight="1" x14ac:dyDescent="0.25">
      <c r="C649" s="38"/>
    </row>
    <row r="650" spans="3:3" ht="15.75" customHeight="1" x14ac:dyDescent="0.25">
      <c r="C650" s="38"/>
    </row>
    <row r="651" spans="3:3" ht="15.75" customHeight="1" x14ac:dyDescent="0.25">
      <c r="C651" s="38"/>
    </row>
    <row r="652" spans="3:3" ht="15.75" customHeight="1" x14ac:dyDescent="0.25">
      <c r="C652" s="38"/>
    </row>
    <row r="653" spans="3:3" ht="15.75" customHeight="1" x14ac:dyDescent="0.25">
      <c r="C653" s="38"/>
    </row>
    <row r="654" spans="3:3" ht="15.75" customHeight="1" x14ac:dyDescent="0.25">
      <c r="C654" s="38"/>
    </row>
    <row r="655" spans="3:3" ht="15.75" customHeight="1" x14ac:dyDescent="0.25">
      <c r="C655" s="38"/>
    </row>
    <row r="656" spans="3:3" ht="15.75" customHeight="1" x14ac:dyDescent="0.25">
      <c r="C656" s="38"/>
    </row>
    <row r="657" spans="3:3" ht="15.75" customHeight="1" x14ac:dyDescent="0.25">
      <c r="C657" s="38"/>
    </row>
    <row r="658" spans="3:3" ht="15.75" customHeight="1" x14ac:dyDescent="0.25">
      <c r="C658" s="38"/>
    </row>
    <row r="659" spans="3:3" ht="15.75" customHeight="1" x14ac:dyDescent="0.25">
      <c r="C659" s="38"/>
    </row>
    <row r="660" spans="3:3" ht="15.75" customHeight="1" x14ac:dyDescent="0.25">
      <c r="C660" s="38"/>
    </row>
    <row r="661" spans="3:3" ht="15.75" customHeight="1" x14ac:dyDescent="0.25">
      <c r="C661" s="38"/>
    </row>
    <row r="662" spans="3:3" ht="15.75" customHeight="1" x14ac:dyDescent="0.25">
      <c r="C662" s="38"/>
    </row>
    <row r="663" spans="3:3" ht="15.75" customHeight="1" x14ac:dyDescent="0.25">
      <c r="C663" s="38"/>
    </row>
    <row r="664" spans="3:3" ht="15.75" customHeight="1" x14ac:dyDescent="0.25">
      <c r="C664" s="38"/>
    </row>
    <row r="665" spans="3:3" ht="15.75" customHeight="1" x14ac:dyDescent="0.25">
      <c r="C665" s="38"/>
    </row>
    <row r="666" spans="3:3" ht="15.75" customHeight="1" x14ac:dyDescent="0.25">
      <c r="C666" s="38"/>
    </row>
    <row r="667" spans="3:3" ht="15.75" customHeight="1" x14ac:dyDescent="0.25">
      <c r="C667" s="38"/>
    </row>
    <row r="668" spans="3:3" ht="15.75" customHeight="1" x14ac:dyDescent="0.25">
      <c r="C668" s="38"/>
    </row>
    <row r="669" spans="3:3" ht="15.75" customHeight="1" x14ac:dyDescent="0.25">
      <c r="C669" s="38"/>
    </row>
    <row r="670" spans="3:3" ht="15.75" customHeight="1" x14ac:dyDescent="0.25">
      <c r="C670" s="38"/>
    </row>
    <row r="671" spans="3:3" ht="15.75" customHeight="1" x14ac:dyDescent="0.25">
      <c r="C671" s="38"/>
    </row>
    <row r="672" spans="3:3" ht="15.75" customHeight="1" x14ac:dyDescent="0.25">
      <c r="C672" s="38"/>
    </row>
    <row r="673" spans="3:3" ht="15.75" customHeight="1" x14ac:dyDescent="0.25">
      <c r="C673" s="38"/>
    </row>
    <row r="674" spans="3:3" ht="15.75" customHeight="1" x14ac:dyDescent="0.25">
      <c r="C674" s="38"/>
    </row>
    <row r="675" spans="3:3" ht="15.75" customHeight="1" x14ac:dyDescent="0.25">
      <c r="C675" s="38"/>
    </row>
    <row r="676" spans="3:3" ht="15.75" customHeight="1" x14ac:dyDescent="0.25">
      <c r="C676" s="38"/>
    </row>
    <row r="677" spans="3:3" ht="15.75" customHeight="1" x14ac:dyDescent="0.25">
      <c r="C677" s="38"/>
    </row>
    <row r="678" spans="3:3" ht="15.75" customHeight="1" x14ac:dyDescent="0.25">
      <c r="C678" s="38"/>
    </row>
    <row r="679" spans="3:3" ht="15.75" customHeight="1" x14ac:dyDescent="0.25">
      <c r="C679" s="38"/>
    </row>
    <row r="680" spans="3:3" ht="15.75" customHeight="1" x14ac:dyDescent="0.25">
      <c r="C680" s="38"/>
    </row>
    <row r="681" spans="3:3" ht="15.75" customHeight="1" x14ac:dyDescent="0.25">
      <c r="C681" s="38"/>
    </row>
    <row r="682" spans="3:3" ht="15.75" customHeight="1" x14ac:dyDescent="0.25">
      <c r="C682" s="38"/>
    </row>
    <row r="683" spans="3:3" ht="15.75" customHeight="1" x14ac:dyDescent="0.25">
      <c r="C683" s="38"/>
    </row>
    <row r="684" spans="3:3" ht="15.75" customHeight="1" x14ac:dyDescent="0.25">
      <c r="C684" s="38"/>
    </row>
    <row r="685" spans="3:3" ht="15.75" customHeight="1" x14ac:dyDescent="0.25">
      <c r="C685" s="38"/>
    </row>
    <row r="686" spans="3:3" ht="15.75" customHeight="1" x14ac:dyDescent="0.25">
      <c r="C686" s="38"/>
    </row>
    <row r="687" spans="3:3" ht="15.75" customHeight="1" x14ac:dyDescent="0.25">
      <c r="C687" s="38"/>
    </row>
    <row r="688" spans="3:3" ht="15.75" customHeight="1" x14ac:dyDescent="0.25">
      <c r="C688" s="38"/>
    </row>
    <row r="689" spans="3:3" ht="15.75" customHeight="1" x14ac:dyDescent="0.25">
      <c r="C689" s="38"/>
    </row>
    <row r="690" spans="3:3" ht="15.75" customHeight="1" x14ac:dyDescent="0.25">
      <c r="C690" s="38"/>
    </row>
    <row r="691" spans="3:3" ht="15.75" customHeight="1" x14ac:dyDescent="0.25">
      <c r="C691" s="38"/>
    </row>
    <row r="692" spans="3:3" ht="15.75" customHeight="1" x14ac:dyDescent="0.25">
      <c r="C692" s="38"/>
    </row>
    <row r="693" spans="3:3" ht="15.75" customHeight="1" x14ac:dyDescent="0.25">
      <c r="C693" s="38"/>
    </row>
    <row r="694" spans="3:3" ht="15.75" customHeight="1" x14ac:dyDescent="0.25">
      <c r="C694" s="38"/>
    </row>
    <row r="695" spans="3:3" ht="15.75" customHeight="1" x14ac:dyDescent="0.25">
      <c r="C695" s="38"/>
    </row>
    <row r="696" spans="3:3" ht="15.75" customHeight="1" x14ac:dyDescent="0.25">
      <c r="C696" s="38"/>
    </row>
    <row r="697" spans="3:3" ht="15.75" customHeight="1" x14ac:dyDescent="0.25">
      <c r="C697" s="38"/>
    </row>
    <row r="698" spans="3:3" ht="15.75" customHeight="1" x14ac:dyDescent="0.25">
      <c r="C698" s="38"/>
    </row>
    <row r="699" spans="3:3" ht="15.75" customHeight="1" x14ac:dyDescent="0.25">
      <c r="C699" s="38"/>
    </row>
    <row r="700" spans="3:3" ht="15.75" customHeight="1" x14ac:dyDescent="0.25">
      <c r="C700" s="38"/>
    </row>
    <row r="701" spans="3:3" ht="15.75" customHeight="1" x14ac:dyDescent="0.25">
      <c r="C701" s="38"/>
    </row>
    <row r="702" spans="3:3" ht="15.75" customHeight="1" x14ac:dyDescent="0.25">
      <c r="C702" s="38"/>
    </row>
    <row r="703" spans="3:3" ht="15.75" customHeight="1" x14ac:dyDescent="0.25">
      <c r="C703" s="38"/>
    </row>
    <row r="704" spans="3:3" ht="15.75" customHeight="1" x14ac:dyDescent="0.25">
      <c r="C704" s="38"/>
    </row>
    <row r="705" spans="3:3" ht="15.75" customHeight="1" x14ac:dyDescent="0.25">
      <c r="C705" s="38"/>
    </row>
    <row r="706" spans="3:3" ht="15.75" customHeight="1" x14ac:dyDescent="0.25">
      <c r="C706" s="38"/>
    </row>
    <row r="707" spans="3:3" ht="15.75" customHeight="1" x14ac:dyDescent="0.25">
      <c r="C707" s="38"/>
    </row>
    <row r="708" spans="3:3" ht="15.75" customHeight="1" x14ac:dyDescent="0.25">
      <c r="C708" s="38"/>
    </row>
    <row r="709" spans="3:3" ht="15.75" customHeight="1" x14ac:dyDescent="0.25">
      <c r="C709" s="38"/>
    </row>
    <row r="710" spans="3:3" ht="15.75" customHeight="1" x14ac:dyDescent="0.25">
      <c r="C710" s="38"/>
    </row>
    <row r="711" spans="3:3" ht="15.75" customHeight="1" x14ac:dyDescent="0.25">
      <c r="C711" s="38"/>
    </row>
    <row r="712" spans="3:3" ht="15.75" customHeight="1" x14ac:dyDescent="0.25">
      <c r="C712" s="38"/>
    </row>
    <row r="713" spans="3:3" ht="15.75" customHeight="1" x14ac:dyDescent="0.25">
      <c r="C713" s="38"/>
    </row>
    <row r="714" spans="3:3" ht="15.75" customHeight="1" x14ac:dyDescent="0.25">
      <c r="C714" s="38"/>
    </row>
    <row r="715" spans="3:3" ht="15.75" customHeight="1" x14ac:dyDescent="0.25">
      <c r="C715" s="38"/>
    </row>
    <row r="716" spans="3:3" ht="15.75" customHeight="1" x14ac:dyDescent="0.25">
      <c r="C716" s="38"/>
    </row>
    <row r="717" spans="3:3" ht="15.75" customHeight="1" x14ac:dyDescent="0.25">
      <c r="C717" s="38"/>
    </row>
    <row r="718" spans="3:3" ht="15.75" customHeight="1" x14ac:dyDescent="0.25">
      <c r="C718" s="38"/>
    </row>
    <row r="719" spans="3:3" ht="15.75" customHeight="1" x14ac:dyDescent="0.25">
      <c r="C719" s="38"/>
    </row>
    <row r="720" spans="3:3" ht="15.75" customHeight="1" x14ac:dyDescent="0.25">
      <c r="C720" s="38"/>
    </row>
    <row r="721" spans="3:3" ht="15.75" customHeight="1" x14ac:dyDescent="0.25">
      <c r="C721" s="38"/>
    </row>
    <row r="722" spans="3:3" ht="15.75" customHeight="1" x14ac:dyDescent="0.25">
      <c r="C722" s="38"/>
    </row>
    <row r="723" spans="3:3" ht="15.75" customHeight="1" x14ac:dyDescent="0.25">
      <c r="C723" s="38"/>
    </row>
    <row r="724" spans="3:3" ht="15.75" customHeight="1" x14ac:dyDescent="0.25">
      <c r="C724" s="38"/>
    </row>
    <row r="725" spans="3:3" ht="15.75" customHeight="1" x14ac:dyDescent="0.25">
      <c r="C725" s="38"/>
    </row>
    <row r="726" spans="3:3" ht="15.75" customHeight="1" x14ac:dyDescent="0.25">
      <c r="C726" s="38"/>
    </row>
    <row r="727" spans="3:3" ht="15.75" customHeight="1" x14ac:dyDescent="0.25">
      <c r="C727" s="38"/>
    </row>
    <row r="728" spans="3:3" ht="15.75" customHeight="1" x14ac:dyDescent="0.25">
      <c r="C728" s="38"/>
    </row>
    <row r="729" spans="3:3" ht="15.75" customHeight="1" x14ac:dyDescent="0.25">
      <c r="C729" s="38"/>
    </row>
    <row r="730" spans="3:3" ht="15.75" customHeight="1" x14ac:dyDescent="0.25">
      <c r="C730" s="38"/>
    </row>
    <row r="731" spans="3:3" ht="15.75" customHeight="1" x14ac:dyDescent="0.25">
      <c r="C731" s="38"/>
    </row>
    <row r="732" spans="3:3" ht="15.75" customHeight="1" x14ac:dyDescent="0.25">
      <c r="C732" s="38"/>
    </row>
    <row r="733" spans="3:3" ht="15.75" customHeight="1" x14ac:dyDescent="0.25">
      <c r="C733" s="38"/>
    </row>
    <row r="734" spans="3:3" ht="15.75" customHeight="1" x14ac:dyDescent="0.25">
      <c r="C734" s="38"/>
    </row>
    <row r="735" spans="3:3" ht="15.75" customHeight="1" x14ac:dyDescent="0.25">
      <c r="C735" s="38"/>
    </row>
    <row r="736" spans="3:3" ht="15.75" customHeight="1" x14ac:dyDescent="0.25">
      <c r="C736" s="38"/>
    </row>
    <row r="737" spans="3:3" ht="15.75" customHeight="1" x14ac:dyDescent="0.25">
      <c r="C737" s="38"/>
    </row>
    <row r="738" spans="3:3" ht="15.75" customHeight="1" x14ac:dyDescent="0.25">
      <c r="C738" s="38"/>
    </row>
    <row r="739" spans="3:3" ht="15.75" customHeight="1" x14ac:dyDescent="0.25">
      <c r="C739" s="38"/>
    </row>
    <row r="740" spans="3:3" ht="15.75" customHeight="1" x14ac:dyDescent="0.25">
      <c r="C740" s="38"/>
    </row>
    <row r="741" spans="3:3" ht="15.75" customHeight="1" x14ac:dyDescent="0.25">
      <c r="C741" s="38"/>
    </row>
    <row r="742" spans="3:3" ht="15.75" customHeight="1" x14ac:dyDescent="0.25">
      <c r="C742" s="38"/>
    </row>
    <row r="743" spans="3:3" ht="15.75" customHeight="1" x14ac:dyDescent="0.25">
      <c r="C743" s="38"/>
    </row>
    <row r="744" spans="3:3" ht="15.75" customHeight="1" x14ac:dyDescent="0.25">
      <c r="C744" s="38"/>
    </row>
    <row r="745" spans="3:3" ht="15.75" customHeight="1" x14ac:dyDescent="0.25">
      <c r="C745" s="38"/>
    </row>
    <row r="746" spans="3:3" ht="15.75" customHeight="1" x14ac:dyDescent="0.25">
      <c r="C746" s="38"/>
    </row>
    <row r="747" spans="3:3" ht="15.75" customHeight="1" x14ac:dyDescent="0.25">
      <c r="C747" s="38"/>
    </row>
    <row r="748" spans="3:3" ht="15.75" customHeight="1" x14ac:dyDescent="0.25">
      <c r="C748" s="38"/>
    </row>
    <row r="749" spans="3:3" ht="15.75" customHeight="1" x14ac:dyDescent="0.25">
      <c r="C749" s="38"/>
    </row>
    <row r="750" spans="3:3" ht="15.75" customHeight="1" x14ac:dyDescent="0.25">
      <c r="C750" s="38"/>
    </row>
    <row r="751" spans="3:3" ht="15.75" customHeight="1" x14ac:dyDescent="0.25">
      <c r="C751" s="38"/>
    </row>
    <row r="752" spans="3:3" ht="15.75" customHeight="1" x14ac:dyDescent="0.25">
      <c r="C752" s="38"/>
    </row>
    <row r="753" spans="3:3" ht="15.75" customHeight="1" x14ac:dyDescent="0.25">
      <c r="C753" s="38"/>
    </row>
    <row r="754" spans="3:3" ht="15.75" customHeight="1" x14ac:dyDescent="0.25">
      <c r="C754" s="38"/>
    </row>
    <row r="755" spans="3:3" ht="15.75" customHeight="1" x14ac:dyDescent="0.25">
      <c r="C755" s="38"/>
    </row>
    <row r="756" spans="3:3" ht="15.75" customHeight="1" x14ac:dyDescent="0.25">
      <c r="C756" s="38"/>
    </row>
    <row r="757" spans="3:3" ht="15.75" customHeight="1" x14ac:dyDescent="0.25">
      <c r="C757" s="38"/>
    </row>
    <row r="758" spans="3:3" ht="15.75" customHeight="1" x14ac:dyDescent="0.25">
      <c r="C758" s="38"/>
    </row>
    <row r="759" spans="3:3" ht="15.75" customHeight="1" x14ac:dyDescent="0.25">
      <c r="C759" s="38"/>
    </row>
    <row r="760" spans="3:3" ht="15.75" customHeight="1" x14ac:dyDescent="0.25">
      <c r="C760" s="38"/>
    </row>
    <row r="761" spans="3:3" ht="15.75" customHeight="1" x14ac:dyDescent="0.25">
      <c r="C761" s="38"/>
    </row>
    <row r="762" spans="3:3" ht="15.75" customHeight="1" x14ac:dyDescent="0.25">
      <c r="C762" s="38"/>
    </row>
    <row r="763" spans="3:3" ht="15.75" customHeight="1" x14ac:dyDescent="0.25">
      <c r="C763" s="38"/>
    </row>
    <row r="764" spans="3:3" ht="15.75" customHeight="1" x14ac:dyDescent="0.25">
      <c r="C764" s="38"/>
    </row>
    <row r="765" spans="3:3" ht="15.75" customHeight="1" x14ac:dyDescent="0.25">
      <c r="C765" s="38"/>
    </row>
    <row r="766" spans="3:3" ht="15.75" customHeight="1" x14ac:dyDescent="0.25">
      <c r="C766" s="38"/>
    </row>
    <row r="767" spans="3:3" ht="15.75" customHeight="1" x14ac:dyDescent="0.25">
      <c r="C767" s="38"/>
    </row>
    <row r="768" spans="3:3" ht="15.75" customHeight="1" x14ac:dyDescent="0.25">
      <c r="C768" s="38"/>
    </row>
    <row r="769" spans="3:3" ht="15.75" customHeight="1" x14ac:dyDescent="0.25">
      <c r="C769" s="38"/>
    </row>
    <row r="770" spans="3:3" ht="15.75" customHeight="1" x14ac:dyDescent="0.25">
      <c r="C770" s="38"/>
    </row>
    <row r="771" spans="3:3" ht="15.75" customHeight="1" x14ac:dyDescent="0.25">
      <c r="C771" s="38"/>
    </row>
    <row r="772" spans="3:3" ht="15.75" customHeight="1" x14ac:dyDescent="0.25">
      <c r="C772" s="38"/>
    </row>
    <row r="773" spans="3:3" ht="15.75" customHeight="1" x14ac:dyDescent="0.25">
      <c r="C773" s="38"/>
    </row>
    <row r="774" spans="3:3" ht="15.75" customHeight="1" x14ac:dyDescent="0.25">
      <c r="C774" s="38"/>
    </row>
    <row r="775" spans="3:3" ht="15.75" customHeight="1" x14ac:dyDescent="0.25">
      <c r="C775" s="38"/>
    </row>
    <row r="776" spans="3:3" ht="15.75" customHeight="1" x14ac:dyDescent="0.25">
      <c r="C776" s="38"/>
    </row>
    <row r="777" spans="3:3" ht="15.75" customHeight="1" x14ac:dyDescent="0.25">
      <c r="C777" s="38"/>
    </row>
    <row r="778" spans="3:3" ht="15.75" customHeight="1" x14ac:dyDescent="0.25">
      <c r="C778" s="38"/>
    </row>
    <row r="779" spans="3:3" ht="15.75" customHeight="1" x14ac:dyDescent="0.25">
      <c r="C779" s="38"/>
    </row>
    <row r="780" spans="3:3" ht="15.75" customHeight="1" x14ac:dyDescent="0.25">
      <c r="C780" s="38"/>
    </row>
    <row r="781" spans="3:3" ht="15.75" customHeight="1" x14ac:dyDescent="0.25">
      <c r="C781" s="38"/>
    </row>
    <row r="782" spans="3:3" ht="15.75" customHeight="1" x14ac:dyDescent="0.25">
      <c r="C782" s="38"/>
    </row>
    <row r="783" spans="3:3" ht="15.75" customHeight="1" x14ac:dyDescent="0.25">
      <c r="C783" s="38"/>
    </row>
    <row r="784" spans="3:3" ht="15.75" customHeight="1" x14ac:dyDescent="0.25">
      <c r="C784" s="38"/>
    </row>
    <row r="785" spans="3:3" ht="15.75" customHeight="1" x14ac:dyDescent="0.25">
      <c r="C785" s="38"/>
    </row>
    <row r="786" spans="3:3" ht="15.75" customHeight="1" x14ac:dyDescent="0.25">
      <c r="C786" s="38"/>
    </row>
    <row r="787" spans="3:3" ht="15.75" customHeight="1" x14ac:dyDescent="0.25">
      <c r="C787" s="38"/>
    </row>
    <row r="788" spans="3:3" ht="15.75" customHeight="1" x14ac:dyDescent="0.25">
      <c r="C788" s="38"/>
    </row>
    <row r="789" spans="3:3" ht="15.75" customHeight="1" x14ac:dyDescent="0.25">
      <c r="C789" s="38"/>
    </row>
    <row r="790" spans="3:3" ht="15.75" customHeight="1" x14ac:dyDescent="0.25">
      <c r="C790" s="38"/>
    </row>
    <row r="791" spans="3:3" ht="15.75" customHeight="1" x14ac:dyDescent="0.25">
      <c r="C791" s="38"/>
    </row>
    <row r="792" spans="3:3" ht="15.75" customHeight="1" x14ac:dyDescent="0.25">
      <c r="C792" s="38"/>
    </row>
    <row r="793" spans="3:3" ht="15.75" customHeight="1" x14ac:dyDescent="0.25">
      <c r="C793" s="38"/>
    </row>
    <row r="794" spans="3:3" ht="15.75" customHeight="1" x14ac:dyDescent="0.25">
      <c r="C794" s="38"/>
    </row>
    <row r="795" spans="3:3" ht="15.75" customHeight="1" x14ac:dyDescent="0.25">
      <c r="C795" s="38"/>
    </row>
    <row r="796" spans="3:3" ht="15.75" customHeight="1" x14ac:dyDescent="0.25">
      <c r="C796" s="38"/>
    </row>
    <row r="797" spans="3:3" ht="15.75" customHeight="1" x14ac:dyDescent="0.25">
      <c r="C797" s="38"/>
    </row>
    <row r="798" spans="3:3" ht="15.75" customHeight="1" x14ac:dyDescent="0.25">
      <c r="C798" s="38"/>
    </row>
    <row r="799" spans="3:3" ht="15.75" customHeight="1" x14ac:dyDescent="0.25">
      <c r="C799" s="38"/>
    </row>
    <row r="800" spans="3:3" ht="15.75" customHeight="1" x14ac:dyDescent="0.25">
      <c r="C800" s="38"/>
    </row>
    <row r="801" spans="3:3" ht="15.75" customHeight="1" x14ac:dyDescent="0.25">
      <c r="C801" s="38"/>
    </row>
    <row r="802" spans="3:3" ht="15.75" customHeight="1" x14ac:dyDescent="0.25">
      <c r="C802" s="38"/>
    </row>
    <row r="803" spans="3:3" ht="15.75" customHeight="1" x14ac:dyDescent="0.25">
      <c r="C803" s="38"/>
    </row>
    <row r="804" spans="3:3" ht="15.75" customHeight="1" x14ac:dyDescent="0.25">
      <c r="C804" s="38"/>
    </row>
    <row r="805" spans="3:3" ht="15.75" customHeight="1" x14ac:dyDescent="0.25">
      <c r="C805" s="38"/>
    </row>
    <row r="806" spans="3:3" ht="15.75" customHeight="1" x14ac:dyDescent="0.25">
      <c r="C806" s="38"/>
    </row>
    <row r="807" spans="3:3" ht="15.75" customHeight="1" x14ac:dyDescent="0.25">
      <c r="C807" s="38"/>
    </row>
    <row r="808" spans="3:3" ht="15.75" customHeight="1" x14ac:dyDescent="0.25">
      <c r="C808" s="38"/>
    </row>
    <row r="809" spans="3:3" ht="15.75" customHeight="1" x14ac:dyDescent="0.25">
      <c r="C809" s="38"/>
    </row>
    <row r="810" spans="3:3" ht="15.75" customHeight="1" x14ac:dyDescent="0.25">
      <c r="C810" s="38"/>
    </row>
    <row r="811" spans="3:3" ht="15.75" customHeight="1" x14ac:dyDescent="0.25">
      <c r="C811" s="38"/>
    </row>
    <row r="812" spans="3:3" ht="15.75" customHeight="1" x14ac:dyDescent="0.25">
      <c r="C812" s="38"/>
    </row>
    <row r="813" spans="3:3" ht="15.75" customHeight="1" x14ac:dyDescent="0.25">
      <c r="C813" s="38"/>
    </row>
    <row r="814" spans="3:3" ht="15.75" customHeight="1" x14ac:dyDescent="0.25">
      <c r="C814" s="38"/>
    </row>
    <row r="815" spans="3:3" ht="15.75" customHeight="1" x14ac:dyDescent="0.25">
      <c r="C815" s="38"/>
    </row>
    <row r="816" spans="3:3" ht="15.75" customHeight="1" x14ac:dyDescent="0.25">
      <c r="C816" s="38"/>
    </row>
    <row r="817" spans="3:3" ht="15.75" customHeight="1" x14ac:dyDescent="0.25">
      <c r="C817" s="38"/>
    </row>
    <row r="818" spans="3:3" ht="15.75" customHeight="1" x14ac:dyDescent="0.25">
      <c r="C818" s="38"/>
    </row>
    <row r="819" spans="3:3" ht="15.75" customHeight="1" x14ac:dyDescent="0.25">
      <c r="C819" s="38"/>
    </row>
    <row r="820" spans="3:3" ht="15.75" customHeight="1" x14ac:dyDescent="0.25">
      <c r="C820" s="38"/>
    </row>
    <row r="821" spans="3:3" ht="15.75" customHeight="1" x14ac:dyDescent="0.25">
      <c r="C821" s="38"/>
    </row>
    <row r="822" spans="3:3" ht="15.75" customHeight="1" x14ac:dyDescent="0.25">
      <c r="C822" s="38"/>
    </row>
    <row r="823" spans="3:3" ht="15.75" customHeight="1" x14ac:dyDescent="0.25">
      <c r="C823" s="38"/>
    </row>
    <row r="824" spans="3:3" ht="15.75" customHeight="1" x14ac:dyDescent="0.25">
      <c r="C824" s="38"/>
    </row>
    <row r="825" spans="3:3" ht="15.75" customHeight="1" x14ac:dyDescent="0.25">
      <c r="C825" s="38"/>
    </row>
    <row r="826" spans="3:3" ht="15.75" customHeight="1" x14ac:dyDescent="0.25">
      <c r="C826" s="38"/>
    </row>
    <row r="827" spans="3:3" ht="15.75" customHeight="1" x14ac:dyDescent="0.25">
      <c r="C827" s="38"/>
    </row>
    <row r="828" spans="3:3" ht="15.75" customHeight="1" x14ac:dyDescent="0.25">
      <c r="C828" s="38"/>
    </row>
    <row r="829" spans="3:3" ht="15.75" customHeight="1" x14ac:dyDescent="0.25">
      <c r="C829" s="38"/>
    </row>
    <row r="830" spans="3:3" ht="15.75" customHeight="1" x14ac:dyDescent="0.25">
      <c r="C830" s="38"/>
    </row>
    <row r="831" spans="3:3" ht="15.75" customHeight="1" x14ac:dyDescent="0.25">
      <c r="C831" s="38"/>
    </row>
    <row r="832" spans="3:3" ht="15.75" customHeight="1" x14ac:dyDescent="0.25">
      <c r="C832" s="38"/>
    </row>
    <row r="833" spans="3:3" ht="15.75" customHeight="1" x14ac:dyDescent="0.25">
      <c r="C833" s="38"/>
    </row>
    <row r="834" spans="3:3" ht="15.75" customHeight="1" x14ac:dyDescent="0.25">
      <c r="C834" s="38"/>
    </row>
    <row r="835" spans="3:3" ht="15.75" customHeight="1" x14ac:dyDescent="0.25">
      <c r="C835" s="38"/>
    </row>
    <row r="836" spans="3:3" ht="15.75" customHeight="1" x14ac:dyDescent="0.25">
      <c r="C836" s="38"/>
    </row>
    <row r="837" spans="3:3" ht="15.75" customHeight="1" x14ac:dyDescent="0.25">
      <c r="C837" s="38"/>
    </row>
    <row r="838" spans="3:3" ht="15.75" customHeight="1" x14ac:dyDescent="0.25">
      <c r="C838" s="38"/>
    </row>
    <row r="839" spans="3:3" ht="15.75" customHeight="1" x14ac:dyDescent="0.25">
      <c r="C839" s="38"/>
    </row>
    <row r="840" spans="3:3" ht="15.75" customHeight="1" x14ac:dyDescent="0.25">
      <c r="C840" s="38"/>
    </row>
    <row r="841" spans="3:3" ht="15.75" customHeight="1" x14ac:dyDescent="0.25">
      <c r="C841" s="38"/>
    </row>
    <row r="842" spans="3:3" ht="15.75" customHeight="1" x14ac:dyDescent="0.25">
      <c r="C842" s="38"/>
    </row>
    <row r="843" spans="3:3" ht="15.75" customHeight="1" x14ac:dyDescent="0.25">
      <c r="C843" s="38"/>
    </row>
    <row r="844" spans="3:3" ht="15.75" customHeight="1" x14ac:dyDescent="0.25">
      <c r="C844" s="38"/>
    </row>
    <row r="845" spans="3:3" ht="15.75" customHeight="1" x14ac:dyDescent="0.25">
      <c r="C845" s="38"/>
    </row>
    <row r="846" spans="3:3" ht="15.75" customHeight="1" x14ac:dyDescent="0.25">
      <c r="C846" s="38"/>
    </row>
    <row r="847" spans="3:3" ht="15.75" customHeight="1" x14ac:dyDescent="0.25">
      <c r="C847" s="38"/>
    </row>
    <row r="848" spans="3:3" ht="15.75" customHeight="1" x14ac:dyDescent="0.25">
      <c r="C848" s="38"/>
    </row>
    <row r="849" spans="3:3" ht="15.75" customHeight="1" x14ac:dyDescent="0.25">
      <c r="C849" s="38"/>
    </row>
    <row r="850" spans="3:3" ht="15.75" customHeight="1" x14ac:dyDescent="0.25">
      <c r="C850" s="38"/>
    </row>
    <row r="851" spans="3:3" ht="15.75" customHeight="1" x14ac:dyDescent="0.25">
      <c r="C851" s="38"/>
    </row>
    <row r="852" spans="3:3" ht="15.75" customHeight="1" x14ac:dyDescent="0.25">
      <c r="C852" s="38"/>
    </row>
    <row r="853" spans="3:3" ht="15.75" customHeight="1" x14ac:dyDescent="0.25">
      <c r="C853" s="38"/>
    </row>
    <row r="854" spans="3:3" ht="15.75" customHeight="1" x14ac:dyDescent="0.25">
      <c r="C854" s="38"/>
    </row>
    <row r="855" spans="3:3" ht="15.75" customHeight="1" x14ac:dyDescent="0.25">
      <c r="C855" s="38"/>
    </row>
    <row r="856" spans="3:3" ht="15.75" customHeight="1" x14ac:dyDescent="0.25">
      <c r="C856" s="38"/>
    </row>
    <row r="857" spans="3:3" ht="15.75" customHeight="1" x14ac:dyDescent="0.25">
      <c r="C857" s="38"/>
    </row>
    <row r="858" spans="3:3" ht="15.75" customHeight="1" x14ac:dyDescent="0.25">
      <c r="C858" s="38"/>
    </row>
    <row r="859" spans="3:3" ht="15.75" customHeight="1" x14ac:dyDescent="0.25">
      <c r="C859" s="38"/>
    </row>
    <row r="860" spans="3:3" ht="15.75" customHeight="1" x14ac:dyDescent="0.25">
      <c r="C860" s="38"/>
    </row>
    <row r="861" spans="3:3" ht="15.75" customHeight="1" x14ac:dyDescent="0.25">
      <c r="C861" s="38"/>
    </row>
    <row r="862" spans="3:3" ht="15.75" customHeight="1" x14ac:dyDescent="0.25">
      <c r="C862" s="38"/>
    </row>
    <row r="863" spans="3:3" ht="15.75" customHeight="1" x14ac:dyDescent="0.25">
      <c r="C863" s="38"/>
    </row>
    <row r="864" spans="3:3" ht="15.75" customHeight="1" x14ac:dyDescent="0.25">
      <c r="C864" s="38"/>
    </row>
    <row r="865" spans="3:3" ht="15.75" customHeight="1" x14ac:dyDescent="0.25">
      <c r="C865" s="38"/>
    </row>
    <row r="866" spans="3:3" ht="15.75" customHeight="1" x14ac:dyDescent="0.25">
      <c r="C866" s="38"/>
    </row>
    <row r="867" spans="3:3" ht="15.75" customHeight="1" x14ac:dyDescent="0.25">
      <c r="C867" s="38"/>
    </row>
    <row r="868" spans="3:3" ht="15.75" customHeight="1" x14ac:dyDescent="0.25">
      <c r="C868" s="38"/>
    </row>
    <row r="869" spans="3:3" ht="15.75" customHeight="1" x14ac:dyDescent="0.25">
      <c r="C869" s="38"/>
    </row>
    <row r="870" spans="3:3" ht="15.75" customHeight="1" x14ac:dyDescent="0.25">
      <c r="C870" s="38"/>
    </row>
    <row r="871" spans="3:3" ht="15.75" customHeight="1" x14ac:dyDescent="0.25">
      <c r="C871" s="38"/>
    </row>
    <row r="872" spans="3:3" ht="15.75" customHeight="1" x14ac:dyDescent="0.25">
      <c r="C872" s="38"/>
    </row>
    <row r="873" spans="3:3" ht="15.75" customHeight="1" x14ac:dyDescent="0.25">
      <c r="C873" s="38"/>
    </row>
    <row r="874" spans="3:3" ht="15.75" customHeight="1" x14ac:dyDescent="0.25">
      <c r="C874" s="38"/>
    </row>
    <row r="875" spans="3:3" ht="15.75" customHeight="1" x14ac:dyDescent="0.25">
      <c r="C875" s="38"/>
    </row>
    <row r="876" spans="3:3" ht="15.75" customHeight="1" x14ac:dyDescent="0.25">
      <c r="C876" s="38"/>
    </row>
    <row r="877" spans="3:3" ht="15.75" customHeight="1" x14ac:dyDescent="0.25">
      <c r="C877" s="38"/>
    </row>
    <row r="878" spans="3:3" ht="15.75" customHeight="1" x14ac:dyDescent="0.25">
      <c r="C878" s="38"/>
    </row>
    <row r="879" spans="3:3" ht="15.75" customHeight="1" x14ac:dyDescent="0.25">
      <c r="C879" s="38"/>
    </row>
    <row r="880" spans="3:3" ht="15.75" customHeight="1" x14ac:dyDescent="0.25">
      <c r="C880" s="38"/>
    </row>
    <row r="881" spans="3:3" ht="15.75" customHeight="1" x14ac:dyDescent="0.25">
      <c r="C881" s="38"/>
    </row>
    <row r="882" spans="3:3" ht="15.75" customHeight="1" x14ac:dyDescent="0.25">
      <c r="C882" s="38"/>
    </row>
    <row r="883" spans="3:3" ht="15.75" customHeight="1" x14ac:dyDescent="0.25">
      <c r="C883" s="38"/>
    </row>
    <row r="884" spans="3:3" ht="15.75" customHeight="1" x14ac:dyDescent="0.25">
      <c r="C884" s="38"/>
    </row>
    <row r="885" spans="3:3" ht="15.75" customHeight="1" x14ac:dyDescent="0.25">
      <c r="C885" s="38"/>
    </row>
    <row r="886" spans="3:3" ht="15.75" customHeight="1" x14ac:dyDescent="0.25">
      <c r="C886" s="38"/>
    </row>
    <row r="887" spans="3:3" ht="15.75" customHeight="1" x14ac:dyDescent="0.25">
      <c r="C887" s="38"/>
    </row>
    <row r="888" spans="3:3" ht="15.75" customHeight="1" x14ac:dyDescent="0.25">
      <c r="C888" s="38"/>
    </row>
    <row r="889" spans="3:3" ht="15.75" customHeight="1" x14ac:dyDescent="0.25">
      <c r="C889" s="38"/>
    </row>
    <row r="890" spans="3:3" ht="15.75" customHeight="1" x14ac:dyDescent="0.25">
      <c r="C890" s="38"/>
    </row>
    <row r="891" spans="3:3" ht="15.75" customHeight="1" x14ac:dyDescent="0.25">
      <c r="C891" s="38"/>
    </row>
    <row r="892" spans="3:3" ht="15.75" customHeight="1" x14ac:dyDescent="0.25">
      <c r="C892" s="38"/>
    </row>
    <row r="893" spans="3:3" ht="15.75" customHeight="1" x14ac:dyDescent="0.25">
      <c r="C893" s="38"/>
    </row>
    <row r="894" spans="3:3" ht="15.75" customHeight="1" x14ac:dyDescent="0.25">
      <c r="C894" s="38"/>
    </row>
    <row r="895" spans="3:3" ht="15.75" customHeight="1" x14ac:dyDescent="0.25">
      <c r="C895" s="38"/>
    </row>
    <row r="896" spans="3:3" ht="15.75" customHeight="1" x14ac:dyDescent="0.25">
      <c r="C896" s="38"/>
    </row>
    <row r="897" spans="3:3" ht="15.75" customHeight="1" x14ac:dyDescent="0.25">
      <c r="C897" s="38"/>
    </row>
    <row r="898" spans="3:3" ht="15.75" customHeight="1" x14ac:dyDescent="0.25">
      <c r="C898" s="38"/>
    </row>
    <row r="899" spans="3:3" ht="15.75" customHeight="1" x14ac:dyDescent="0.25">
      <c r="C899" s="38"/>
    </row>
    <row r="900" spans="3:3" ht="15.75" customHeight="1" x14ac:dyDescent="0.25">
      <c r="C900" s="38"/>
    </row>
    <row r="901" spans="3:3" ht="15.75" customHeight="1" x14ac:dyDescent="0.25">
      <c r="C901" s="38"/>
    </row>
    <row r="902" spans="3:3" ht="15.75" customHeight="1" x14ac:dyDescent="0.25">
      <c r="C902" s="38"/>
    </row>
    <row r="903" spans="3:3" ht="15.75" customHeight="1" x14ac:dyDescent="0.25">
      <c r="C903" s="38"/>
    </row>
    <row r="904" spans="3:3" ht="15.75" customHeight="1" x14ac:dyDescent="0.25">
      <c r="C904" s="38"/>
    </row>
    <row r="905" spans="3:3" ht="15.75" customHeight="1" x14ac:dyDescent="0.25">
      <c r="C905" s="38"/>
    </row>
    <row r="906" spans="3:3" ht="15.75" customHeight="1" x14ac:dyDescent="0.25">
      <c r="C906" s="38"/>
    </row>
    <row r="907" spans="3:3" ht="15.75" customHeight="1" x14ac:dyDescent="0.25">
      <c r="C907" s="38"/>
    </row>
    <row r="908" spans="3:3" ht="15.75" customHeight="1" x14ac:dyDescent="0.25">
      <c r="C908" s="38"/>
    </row>
    <row r="909" spans="3:3" ht="15.75" customHeight="1" x14ac:dyDescent="0.25">
      <c r="C909" s="38"/>
    </row>
    <row r="910" spans="3:3" ht="15.75" customHeight="1" x14ac:dyDescent="0.25">
      <c r="C910" s="38"/>
    </row>
    <row r="911" spans="3:3" ht="15.75" customHeight="1" x14ac:dyDescent="0.25">
      <c r="C911" s="38"/>
    </row>
    <row r="912" spans="3:3" ht="15.75" customHeight="1" x14ac:dyDescent="0.25">
      <c r="C912" s="38"/>
    </row>
    <row r="913" spans="3:3" ht="15.75" customHeight="1" x14ac:dyDescent="0.25">
      <c r="C913" s="38"/>
    </row>
    <row r="914" spans="3:3" ht="15.75" customHeight="1" x14ac:dyDescent="0.25">
      <c r="C914" s="38"/>
    </row>
    <row r="915" spans="3:3" ht="15.75" customHeight="1" x14ac:dyDescent="0.25">
      <c r="C915" s="38"/>
    </row>
    <row r="916" spans="3:3" ht="15.75" customHeight="1" x14ac:dyDescent="0.25">
      <c r="C916" s="38"/>
    </row>
    <row r="917" spans="3:3" ht="15.75" customHeight="1" x14ac:dyDescent="0.25">
      <c r="C917" s="38"/>
    </row>
    <row r="918" spans="3:3" ht="15.75" customHeight="1" x14ac:dyDescent="0.25">
      <c r="C918" s="38"/>
    </row>
    <row r="919" spans="3:3" ht="15.75" customHeight="1" x14ac:dyDescent="0.25">
      <c r="C919" s="38"/>
    </row>
    <row r="920" spans="3:3" ht="15.75" customHeight="1" x14ac:dyDescent="0.25">
      <c r="C920" s="38"/>
    </row>
    <row r="921" spans="3:3" ht="15.75" customHeight="1" x14ac:dyDescent="0.25">
      <c r="C921" s="38"/>
    </row>
    <row r="922" spans="3:3" ht="15.75" customHeight="1" x14ac:dyDescent="0.25">
      <c r="C922" s="38"/>
    </row>
    <row r="923" spans="3:3" ht="15.75" customHeight="1" x14ac:dyDescent="0.25">
      <c r="C923" s="38"/>
    </row>
    <row r="924" spans="3:3" ht="15.75" customHeight="1" x14ac:dyDescent="0.25">
      <c r="C924" s="38"/>
    </row>
    <row r="925" spans="3:3" ht="15.75" customHeight="1" x14ac:dyDescent="0.25">
      <c r="C925" s="38"/>
    </row>
    <row r="926" spans="3:3" ht="15.75" customHeight="1" x14ac:dyDescent="0.25">
      <c r="C926" s="38"/>
    </row>
    <row r="927" spans="3:3" ht="15.75" customHeight="1" x14ac:dyDescent="0.25">
      <c r="C927" s="38"/>
    </row>
    <row r="928" spans="3:3" ht="15.75" customHeight="1" x14ac:dyDescent="0.25">
      <c r="C928" s="38"/>
    </row>
    <row r="929" spans="3:3" ht="15.75" customHeight="1" x14ac:dyDescent="0.25">
      <c r="C929" s="38"/>
    </row>
    <row r="930" spans="3:3" ht="15.75" customHeight="1" x14ac:dyDescent="0.25">
      <c r="C930" s="38"/>
    </row>
    <row r="931" spans="3:3" ht="15.75" customHeight="1" x14ac:dyDescent="0.25">
      <c r="C931" s="38"/>
    </row>
    <row r="932" spans="3:3" ht="15.75" customHeight="1" x14ac:dyDescent="0.25">
      <c r="C932" s="38"/>
    </row>
    <row r="933" spans="3:3" ht="15.75" customHeight="1" x14ac:dyDescent="0.25">
      <c r="C933" s="38"/>
    </row>
    <row r="934" spans="3:3" ht="15.75" customHeight="1" x14ac:dyDescent="0.25">
      <c r="C934" s="38"/>
    </row>
    <row r="935" spans="3:3" ht="15.75" customHeight="1" x14ac:dyDescent="0.25">
      <c r="C935" s="38"/>
    </row>
    <row r="936" spans="3:3" ht="15.75" customHeight="1" x14ac:dyDescent="0.25">
      <c r="C936" s="38"/>
    </row>
    <row r="937" spans="3:3" ht="15.75" customHeight="1" x14ac:dyDescent="0.25">
      <c r="C937" s="38"/>
    </row>
    <row r="938" spans="3:3" ht="15.75" customHeight="1" x14ac:dyDescent="0.25">
      <c r="C938" s="38"/>
    </row>
    <row r="939" spans="3:3" ht="15.75" customHeight="1" x14ac:dyDescent="0.25">
      <c r="C939" s="38"/>
    </row>
    <row r="940" spans="3:3" ht="15.75" customHeight="1" x14ac:dyDescent="0.25">
      <c r="C940" s="38"/>
    </row>
    <row r="941" spans="3:3" ht="15.75" customHeight="1" x14ac:dyDescent="0.25">
      <c r="C941" s="38"/>
    </row>
    <row r="942" spans="3:3" ht="15.75" customHeight="1" x14ac:dyDescent="0.25">
      <c r="C942" s="38"/>
    </row>
    <row r="943" spans="3:3" ht="15.75" customHeight="1" x14ac:dyDescent="0.25">
      <c r="C943" s="38"/>
    </row>
    <row r="944" spans="3:3" ht="15.75" customHeight="1" x14ac:dyDescent="0.25">
      <c r="C944" s="38"/>
    </row>
    <row r="945" spans="3:3" ht="15.75" customHeight="1" x14ac:dyDescent="0.25">
      <c r="C945" s="38"/>
    </row>
    <row r="946" spans="3:3" ht="15.75" customHeight="1" x14ac:dyDescent="0.25">
      <c r="C946" s="38"/>
    </row>
    <row r="947" spans="3:3" ht="15.75" customHeight="1" x14ac:dyDescent="0.25">
      <c r="C947" s="38"/>
    </row>
    <row r="948" spans="3:3" ht="15.75" customHeight="1" x14ac:dyDescent="0.25">
      <c r="C948" s="38"/>
    </row>
    <row r="949" spans="3:3" ht="15.75" customHeight="1" x14ac:dyDescent="0.25">
      <c r="C949" s="38"/>
    </row>
    <row r="950" spans="3:3" ht="15.75" customHeight="1" x14ac:dyDescent="0.25">
      <c r="C950" s="38"/>
    </row>
    <row r="951" spans="3:3" ht="15.75" customHeight="1" x14ac:dyDescent="0.25">
      <c r="C951" s="38"/>
    </row>
    <row r="952" spans="3:3" ht="15.75" customHeight="1" x14ac:dyDescent="0.25">
      <c r="C952" s="38"/>
    </row>
    <row r="953" spans="3:3" ht="15.75" customHeight="1" x14ac:dyDescent="0.25">
      <c r="C953" s="38"/>
    </row>
    <row r="954" spans="3:3" ht="15.75" customHeight="1" x14ac:dyDescent="0.25">
      <c r="C954" s="38"/>
    </row>
    <row r="955" spans="3:3" ht="15.75" customHeight="1" x14ac:dyDescent="0.25">
      <c r="C955" s="38"/>
    </row>
    <row r="956" spans="3:3" ht="15.75" customHeight="1" x14ac:dyDescent="0.25">
      <c r="C956" s="38"/>
    </row>
    <row r="957" spans="3:3" ht="15.75" customHeight="1" x14ac:dyDescent="0.25">
      <c r="C957" s="38"/>
    </row>
    <row r="958" spans="3:3" ht="15.75" customHeight="1" x14ac:dyDescent="0.25">
      <c r="C958" s="38"/>
    </row>
    <row r="959" spans="3:3" ht="15.75" customHeight="1" x14ac:dyDescent="0.25">
      <c r="C959" s="38"/>
    </row>
    <row r="960" spans="3:3" ht="15.75" customHeight="1" x14ac:dyDescent="0.25">
      <c r="C960" s="38"/>
    </row>
    <row r="961" spans="3:3" ht="15.75" customHeight="1" x14ac:dyDescent="0.25">
      <c r="C961" s="38"/>
    </row>
    <row r="962" spans="3:3" ht="15.75" customHeight="1" x14ac:dyDescent="0.25">
      <c r="C962" s="38"/>
    </row>
    <row r="963" spans="3:3" ht="15.75" customHeight="1" x14ac:dyDescent="0.25">
      <c r="C963" s="38"/>
    </row>
    <row r="964" spans="3:3" ht="15.75" customHeight="1" x14ac:dyDescent="0.25">
      <c r="C964" s="38"/>
    </row>
    <row r="965" spans="3:3" ht="15.75" customHeight="1" x14ac:dyDescent="0.25">
      <c r="C965" s="38"/>
    </row>
    <row r="966" spans="3:3" ht="15.75" customHeight="1" x14ac:dyDescent="0.25">
      <c r="C966" s="38"/>
    </row>
    <row r="967" spans="3:3" ht="15.75" customHeight="1" x14ac:dyDescent="0.25">
      <c r="C967" s="38"/>
    </row>
    <row r="968" spans="3:3" ht="15.75" customHeight="1" x14ac:dyDescent="0.25">
      <c r="C968" s="38"/>
    </row>
    <row r="969" spans="3:3" ht="15.75" customHeight="1" x14ac:dyDescent="0.25">
      <c r="C969" s="38"/>
    </row>
    <row r="970" spans="3:3" ht="15.75" customHeight="1" x14ac:dyDescent="0.25">
      <c r="C970" s="38"/>
    </row>
    <row r="971" spans="3:3" ht="15.75" customHeight="1" x14ac:dyDescent="0.25">
      <c r="C971" s="38"/>
    </row>
    <row r="972" spans="3:3" ht="15.75" customHeight="1" x14ac:dyDescent="0.25">
      <c r="C972" s="38"/>
    </row>
    <row r="973" spans="3:3" ht="15.75" customHeight="1" x14ac:dyDescent="0.25">
      <c r="C973" s="38"/>
    </row>
    <row r="974" spans="3:3" ht="15.75" customHeight="1" x14ac:dyDescent="0.25">
      <c r="C974" s="38"/>
    </row>
    <row r="975" spans="3:3" ht="15.75" customHeight="1" x14ac:dyDescent="0.25">
      <c r="C975" s="38"/>
    </row>
    <row r="976" spans="3:3" ht="15.75" customHeight="1" x14ac:dyDescent="0.25">
      <c r="C976" s="38"/>
    </row>
    <row r="977" spans="3:3" ht="15.75" customHeight="1" x14ac:dyDescent="0.25">
      <c r="C977" s="38"/>
    </row>
    <row r="978" spans="3:3" ht="15.75" customHeight="1" x14ac:dyDescent="0.25">
      <c r="C978" s="38"/>
    </row>
    <row r="979" spans="3:3" ht="15.75" customHeight="1" x14ac:dyDescent="0.25">
      <c r="C979" s="38"/>
    </row>
    <row r="980" spans="3:3" ht="15.75" customHeight="1" x14ac:dyDescent="0.25">
      <c r="C980" s="38"/>
    </row>
    <row r="981" spans="3:3" ht="15.75" customHeight="1" x14ac:dyDescent="0.25">
      <c r="C981" s="38"/>
    </row>
    <row r="982" spans="3:3" ht="15.75" customHeight="1" x14ac:dyDescent="0.25">
      <c r="C982" s="38"/>
    </row>
    <row r="983" spans="3:3" ht="15.75" customHeight="1" x14ac:dyDescent="0.25">
      <c r="C983" s="38"/>
    </row>
    <row r="984" spans="3:3" ht="15.75" customHeight="1" x14ac:dyDescent="0.25">
      <c r="C984" s="38"/>
    </row>
    <row r="985" spans="3:3" ht="15.75" customHeight="1" x14ac:dyDescent="0.25">
      <c r="C985" s="38"/>
    </row>
    <row r="986" spans="3:3" ht="15.75" customHeight="1" x14ac:dyDescent="0.25">
      <c r="C986" s="38"/>
    </row>
    <row r="987" spans="3:3" ht="15.75" customHeight="1" x14ac:dyDescent="0.25">
      <c r="C987" s="38"/>
    </row>
    <row r="988" spans="3:3" ht="15.75" customHeight="1" x14ac:dyDescent="0.25">
      <c r="C988" s="38"/>
    </row>
    <row r="989" spans="3:3" ht="15.75" customHeight="1" x14ac:dyDescent="0.25">
      <c r="C989" s="38"/>
    </row>
    <row r="990" spans="3:3" ht="15.75" customHeight="1" x14ac:dyDescent="0.25">
      <c r="C990" s="38"/>
    </row>
    <row r="991" spans="3:3" ht="15.75" customHeight="1" x14ac:dyDescent="0.25">
      <c r="C991" s="38"/>
    </row>
  </sheetData>
  <sheetProtection algorithmName="SHA-512" hashValue="l64gaFh+k2BvBUYrpSwwl8NkQRCK9Mi3pmZUFT1opu0VVixosPMeQwD4VTR/kkqtaDb0uyULA4ii184xPs76Hg==" saltValue="oKBG/7Gq1ggkZ7mSXIYYXQ==" spinCount="100000" sheet="1" objects="1" scenarios="1"/>
  <mergeCells count="3">
    <mergeCell ref="B12:D12"/>
    <mergeCell ref="B13:D15"/>
    <mergeCell ref="B2:D2"/>
  </mergeCells>
  <hyperlinks>
    <hyperlink ref="F2" location="Overview!A1" display="Return to Overview" xr:uid="{188D7353-6B46-4D18-8FB5-971023551272}"/>
  </hyperlinks>
  <pageMargins left="0.7" right="0.7" top="0.75" bottom="0.75"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1">
    <pageSetUpPr fitToPage="1"/>
  </sheetPr>
  <dimension ref="A1:S61"/>
  <sheetViews>
    <sheetView showGridLines="0" showRowColHeaders="0" workbookViewId="0">
      <selection activeCell="C16" sqref="C16"/>
    </sheetView>
  </sheetViews>
  <sheetFormatPr defaultRowHeight="15" x14ac:dyDescent="0.25"/>
  <cols>
    <col min="1" max="1" width="2.28515625" customWidth="1"/>
    <col min="2" max="2" width="1.42578125" customWidth="1"/>
    <col min="3" max="3" width="19.7109375" customWidth="1"/>
    <col min="4" max="4" width="13.5703125" customWidth="1"/>
    <col min="5" max="5" width="14.140625" customWidth="1"/>
    <col min="6" max="6" width="34.140625" bestFit="1" customWidth="1"/>
    <col min="7" max="7" width="2.42578125" customWidth="1"/>
    <col min="8" max="8" width="9.140625" customWidth="1"/>
    <col min="9" max="9" width="8" hidden="1" customWidth="1"/>
    <col min="10" max="10" width="6.5703125" hidden="1" customWidth="1"/>
    <col min="11" max="11" width="0.85546875" style="2" hidden="1" customWidth="1"/>
    <col min="12" max="12" width="9.140625" bestFit="1" customWidth="1"/>
    <col min="13" max="13" width="13.7109375" bestFit="1" customWidth="1"/>
    <col min="14" max="14" width="1.140625" customWidth="1"/>
    <col min="15" max="15" width="10.28515625" customWidth="1"/>
    <col min="16" max="16" width="10.42578125" customWidth="1"/>
    <col min="17" max="17" width="1.42578125" customWidth="1"/>
    <col min="18" max="18" width="7.5703125" customWidth="1"/>
    <col min="19" max="19" width="11.42578125" customWidth="1"/>
  </cols>
  <sheetData>
    <row r="1" spans="1:19" ht="3.75" customHeight="1" thickBot="1" x14ac:dyDescent="0.3">
      <c r="A1" s="8"/>
    </row>
    <row r="2" spans="1:19" ht="33" thickTop="1" thickBot="1" x14ac:dyDescent="0.4">
      <c r="B2" s="5" t="s">
        <v>132</v>
      </c>
      <c r="C2" s="6"/>
      <c r="D2" s="6"/>
      <c r="E2" s="7"/>
      <c r="F2" s="285"/>
      <c r="M2" s="286" t="s">
        <v>290</v>
      </c>
    </row>
    <row r="11" spans="1:19" ht="19.5" customHeight="1" x14ac:dyDescent="0.25"/>
    <row r="12" spans="1:19" ht="19.5" customHeight="1" x14ac:dyDescent="0.25"/>
    <row r="14" spans="1:19" x14ac:dyDescent="0.25">
      <c r="C14" s="387" t="s">
        <v>9</v>
      </c>
      <c r="D14" s="389"/>
      <c r="E14" s="389"/>
      <c r="F14" s="388"/>
      <c r="H14" s="390" t="s">
        <v>29</v>
      </c>
      <c r="L14" s="387" t="s">
        <v>99</v>
      </c>
      <c r="M14" s="388"/>
      <c r="O14" s="387" t="s">
        <v>121</v>
      </c>
      <c r="P14" s="388"/>
      <c r="R14" s="387" t="s">
        <v>8</v>
      </c>
      <c r="S14" s="388"/>
    </row>
    <row r="15" spans="1:19" x14ac:dyDescent="0.25">
      <c r="C15" s="15" t="s">
        <v>117</v>
      </c>
      <c r="D15" s="16" t="s">
        <v>1</v>
      </c>
      <c r="E15" s="16" t="s">
        <v>5</v>
      </c>
      <c r="F15" s="16" t="s">
        <v>2</v>
      </c>
      <c r="H15" s="391"/>
      <c r="I15" s="30" t="s">
        <v>6</v>
      </c>
      <c r="J15" s="17" t="s">
        <v>7</v>
      </c>
      <c r="K15" s="15" t="s">
        <v>102</v>
      </c>
      <c r="L15" s="1" t="s">
        <v>3</v>
      </c>
      <c r="M15" s="4" t="s">
        <v>4</v>
      </c>
      <c r="N15" s="3"/>
      <c r="O15" s="1" t="s">
        <v>120</v>
      </c>
      <c r="P15" s="1" t="s">
        <v>100</v>
      </c>
      <c r="Q15" s="2"/>
      <c r="R15" s="1" t="s">
        <v>0</v>
      </c>
      <c r="S15" s="1" t="s">
        <v>101</v>
      </c>
    </row>
    <row r="16" spans="1:19" x14ac:dyDescent="0.25">
      <c r="C16" s="25" t="s">
        <v>118</v>
      </c>
      <c r="D16" s="18" t="e">
        <f ca="1">OFFSET(LWCT,MATCH($F16,CommonName,0),2,1,1)</f>
        <v>#N/A</v>
      </c>
      <c r="E16" s="18" t="e">
        <f t="shared" ref="E16:E33" ca="1" si="0">OFFSET(LWCT,MATCH($F16,CommonName,0),3,1,1)</f>
        <v>#N/A</v>
      </c>
      <c r="F16" s="24" t="s">
        <v>119</v>
      </c>
      <c r="G16" s="19"/>
      <c r="H16" s="21">
        <f t="shared" ref="H16:H33" ca="1" si="1">OFFSET(LWCT,MATCH($F16,CommonName,0),5,1,1)</f>
        <v>0</v>
      </c>
      <c r="I16" s="18">
        <f t="shared" ref="I16:I33" ca="1" si="2">OFFSET(LWCT,MATCH($F16,CommonName,0),6,1,1)</f>
        <v>0</v>
      </c>
      <c r="J16" s="18">
        <f t="shared" ref="J16:J33" ca="1" si="3">OFFSET(LWCT,MATCH($F16,CommonName,0),7,1,1)</f>
        <v>0</v>
      </c>
      <c r="K16" s="1"/>
      <c r="L16" s="13"/>
      <c r="M16" s="14"/>
      <c r="N16" s="3"/>
      <c r="O16" s="1">
        <f t="shared" ref="O16:O33" si="4">IF(M16&gt;0,M16,L16*2.54)</f>
        <v>0</v>
      </c>
      <c r="P16" s="20">
        <f ca="1">IF(ISERROR(I16*O16^J16),0,I16*O16^J16)</f>
        <v>0</v>
      </c>
      <c r="Q16" s="2"/>
      <c r="R16" s="13"/>
      <c r="S16" s="20">
        <f ca="1">IF(ISERROR(P16*R16),0,P16*R16)</f>
        <v>0</v>
      </c>
    </row>
    <row r="17" spans="3:19" x14ac:dyDescent="0.25">
      <c r="C17" s="25" t="s">
        <v>118</v>
      </c>
      <c r="D17" s="18" t="e">
        <f t="shared" ref="D17:D33" ca="1" si="5">OFFSET(LWCT,MATCH($F17,CommonName,0),2,1,1)</f>
        <v>#N/A</v>
      </c>
      <c r="E17" s="18" t="e">
        <f t="shared" ca="1" si="0"/>
        <v>#N/A</v>
      </c>
      <c r="F17" s="24" t="s">
        <v>119</v>
      </c>
      <c r="G17" s="19"/>
      <c r="H17" s="21">
        <f t="shared" ca="1" si="1"/>
        <v>0</v>
      </c>
      <c r="I17" s="18">
        <f t="shared" ca="1" si="2"/>
        <v>0</v>
      </c>
      <c r="J17" s="18">
        <f t="shared" ca="1" si="3"/>
        <v>0</v>
      </c>
      <c r="K17" s="1"/>
      <c r="L17" s="13"/>
      <c r="M17" s="14"/>
      <c r="N17" s="3"/>
      <c r="O17" s="1">
        <f t="shared" si="4"/>
        <v>0</v>
      </c>
      <c r="P17" s="20">
        <f t="shared" ref="P17:P33" ca="1" si="6">IF(ISERROR(I17*O17^J17),0,I17*O17^J17)</f>
        <v>0</v>
      </c>
      <c r="Q17" s="2"/>
      <c r="R17" s="13"/>
      <c r="S17" s="20">
        <f t="shared" ref="S17:S33" ca="1" si="7">IF(ISERROR(P17*R17),0,P17*R17)</f>
        <v>0</v>
      </c>
    </row>
    <row r="18" spans="3:19" x14ac:dyDescent="0.25">
      <c r="C18" s="25" t="s">
        <v>118</v>
      </c>
      <c r="D18" s="18" t="e">
        <f t="shared" ca="1" si="5"/>
        <v>#N/A</v>
      </c>
      <c r="E18" s="18" t="e">
        <f t="shared" ca="1" si="0"/>
        <v>#N/A</v>
      </c>
      <c r="F18" s="24" t="s">
        <v>119</v>
      </c>
      <c r="G18" s="19"/>
      <c r="H18" s="21">
        <f t="shared" ca="1" si="1"/>
        <v>0</v>
      </c>
      <c r="I18" s="18">
        <f t="shared" ca="1" si="2"/>
        <v>0</v>
      </c>
      <c r="J18" s="18">
        <f t="shared" ca="1" si="3"/>
        <v>0</v>
      </c>
      <c r="K18" s="1"/>
      <c r="L18" s="13"/>
      <c r="M18" s="14"/>
      <c r="N18" s="3"/>
      <c r="O18" s="1">
        <f t="shared" si="4"/>
        <v>0</v>
      </c>
      <c r="P18" s="20">
        <f t="shared" ca="1" si="6"/>
        <v>0</v>
      </c>
      <c r="Q18" s="2"/>
      <c r="R18" s="13"/>
      <c r="S18" s="20">
        <f t="shared" ca="1" si="7"/>
        <v>0</v>
      </c>
    </row>
    <row r="19" spans="3:19" x14ac:dyDescent="0.25">
      <c r="C19" s="25" t="s">
        <v>118</v>
      </c>
      <c r="D19" s="18" t="e">
        <f t="shared" ca="1" si="5"/>
        <v>#N/A</v>
      </c>
      <c r="E19" s="18" t="e">
        <f t="shared" ca="1" si="0"/>
        <v>#N/A</v>
      </c>
      <c r="F19" s="24" t="s">
        <v>119</v>
      </c>
      <c r="G19" s="19"/>
      <c r="H19" s="21">
        <f t="shared" ca="1" si="1"/>
        <v>0</v>
      </c>
      <c r="I19" s="18">
        <f t="shared" ca="1" si="2"/>
        <v>0</v>
      </c>
      <c r="J19" s="18">
        <f t="shared" ca="1" si="3"/>
        <v>0</v>
      </c>
      <c r="K19" s="1"/>
      <c r="L19" s="13"/>
      <c r="M19" s="14"/>
      <c r="N19" s="3"/>
      <c r="O19" s="1">
        <f t="shared" si="4"/>
        <v>0</v>
      </c>
      <c r="P19" s="20">
        <f t="shared" ca="1" si="6"/>
        <v>0</v>
      </c>
      <c r="Q19" s="2"/>
      <c r="R19" s="13"/>
      <c r="S19" s="20">
        <f t="shared" ca="1" si="7"/>
        <v>0</v>
      </c>
    </row>
    <row r="20" spans="3:19" x14ac:dyDescent="0.25">
      <c r="C20" s="25" t="s">
        <v>118</v>
      </c>
      <c r="D20" s="18" t="e">
        <f t="shared" ca="1" si="5"/>
        <v>#N/A</v>
      </c>
      <c r="E20" s="18" t="e">
        <f t="shared" ca="1" si="0"/>
        <v>#N/A</v>
      </c>
      <c r="F20" s="24" t="s">
        <v>119</v>
      </c>
      <c r="G20" s="19"/>
      <c r="H20" s="21">
        <f t="shared" ca="1" si="1"/>
        <v>0</v>
      </c>
      <c r="I20" s="18">
        <f t="shared" ca="1" si="2"/>
        <v>0</v>
      </c>
      <c r="J20" s="18">
        <f t="shared" ca="1" si="3"/>
        <v>0</v>
      </c>
      <c r="K20" s="1"/>
      <c r="L20" s="13"/>
      <c r="M20" s="14"/>
      <c r="N20" s="3"/>
      <c r="O20" s="1">
        <f t="shared" si="4"/>
        <v>0</v>
      </c>
      <c r="P20" s="20">
        <f t="shared" ca="1" si="6"/>
        <v>0</v>
      </c>
      <c r="Q20" s="2"/>
      <c r="R20" s="13"/>
      <c r="S20" s="20">
        <f t="shared" ca="1" si="7"/>
        <v>0</v>
      </c>
    </row>
    <row r="21" spans="3:19" x14ac:dyDescent="0.25">
      <c r="C21" s="25" t="s">
        <v>118</v>
      </c>
      <c r="D21" s="18" t="e">
        <f t="shared" ca="1" si="5"/>
        <v>#N/A</v>
      </c>
      <c r="E21" s="18" t="e">
        <f t="shared" ca="1" si="0"/>
        <v>#N/A</v>
      </c>
      <c r="F21" s="24" t="s">
        <v>119</v>
      </c>
      <c r="G21" s="19"/>
      <c r="H21" s="21">
        <f t="shared" ca="1" si="1"/>
        <v>0</v>
      </c>
      <c r="I21" s="18">
        <f t="shared" ca="1" si="2"/>
        <v>0</v>
      </c>
      <c r="J21" s="18">
        <f t="shared" ca="1" si="3"/>
        <v>0</v>
      </c>
      <c r="K21" s="1"/>
      <c r="L21" s="13"/>
      <c r="M21" s="14"/>
      <c r="N21" s="3"/>
      <c r="O21" s="1">
        <f t="shared" si="4"/>
        <v>0</v>
      </c>
      <c r="P21" s="20">
        <f t="shared" ca="1" si="6"/>
        <v>0</v>
      </c>
      <c r="Q21" s="2"/>
      <c r="R21" s="13"/>
      <c r="S21" s="20">
        <f t="shared" ca="1" si="7"/>
        <v>0</v>
      </c>
    </row>
    <row r="22" spans="3:19" x14ac:dyDescent="0.25">
      <c r="C22" s="25" t="s">
        <v>118</v>
      </c>
      <c r="D22" s="18" t="e">
        <f t="shared" ca="1" si="5"/>
        <v>#N/A</v>
      </c>
      <c r="E22" s="18" t="e">
        <f t="shared" ca="1" si="0"/>
        <v>#N/A</v>
      </c>
      <c r="F22" s="24" t="s">
        <v>119</v>
      </c>
      <c r="G22" s="19"/>
      <c r="H22" s="21">
        <f t="shared" ca="1" si="1"/>
        <v>0</v>
      </c>
      <c r="I22" s="18">
        <f t="shared" ca="1" si="2"/>
        <v>0</v>
      </c>
      <c r="J22" s="18">
        <f t="shared" ca="1" si="3"/>
        <v>0</v>
      </c>
      <c r="K22" s="1"/>
      <c r="L22" s="13"/>
      <c r="M22" s="14"/>
      <c r="N22" s="3"/>
      <c r="O22" s="1">
        <f t="shared" si="4"/>
        <v>0</v>
      </c>
      <c r="P22" s="20">
        <f t="shared" ca="1" si="6"/>
        <v>0</v>
      </c>
      <c r="Q22" s="2"/>
      <c r="R22" s="13"/>
      <c r="S22" s="20">
        <f t="shared" ca="1" si="7"/>
        <v>0</v>
      </c>
    </row>
    <row r="23" spans="3:19" x14ac:dyDescent="0.25">
      <c r="C23" s="25" t="s">
        <v>118</v>
      </c>
      <c r="D23" s="18" t="e">
        <f t="shared" ca="1" si="5"/>
        <v>#N/A</v>
      </c>
      <c r="E23" s="18" t="e">
        <f t="shared" ca="1" si="0"/>
        <v>#N/A</v>
      </c>
      <c r="F23" s="24" t="s">
        <v>119</v>
      </c>
      <c r="G23" s="19"/>
      <c r="H23" s="21">
        <f t="shared" ca="1" si="1"/>
        <v>0</v>
      </c>
      <c r="I23" s="18">
        <f t="shared" ca="1" si="2"/>
        <v>0</v>
      </c>
      <c r="J23" s="18">
        <f t="shared" ca="1" si="3"/>
        <v>0</v>
      </c>
      <c r="K23" s="1"/>
      <c r="L23" s="13"/>
      <c r="M23" s="14"/>
      <c r="N23" s="3"/>
      <c r="O23" s="1">
        <f t="shared" si="4"/>
        <v>0</v>
      </c>
      <c r="P23" s="20">
        <f t="shared" ca="1" si="6"/>
        <v>0</v>
      </c>
      <c r="Q23" s="2"/>
      <c r="R23" s="13"/>
      <c r="S23" s="20">
        <f t="shared" ca="1" si="7"/>
        <v>0</v>
      </c>
    </row>
    <row r="24" spans="3:19" x14ac:dyDescent="0.25">
      <c r="C24" s="25" t="s">
        <v>118</v>
      </c>
      <c r="D24" s="18" t="e">
        <f t="shared" ca="1" si="5"/>
        <v>#N/A</v>
      </c>
      <c r="E24" s="18" t="e">
        <f t="shared" ca="1" si="0"/>
        <v>#N/A</v>
      </c>
      <c r="F24" s="24" t="s">
        <v>119</v>
      </c>
      <c r="G24" s="19"/>
      <c r="H24" s="21">
        <f t="shared" ca="1" si="1"/>
        <v>0</v>
      </c>
      <c r="I24" s="18">
        <f t="shared" ca="1" si="2"/>
        <v>0</v>
      </c>
      <c r="J24" s="18">
        <f t="shared" ca="1" si="3"/>
        <v>0</v>
      </c>
      <c r="K24" s="1"/>
      <c r="L24" s="13"/>
      <c r="M24" s="14"/>
      <c r="N24" s="3"/>
      <c r="O24" s="1">
        <f t="shared" si="4"/>
        <v>0</v>
      </c>
      <c r="P24" s="20">
        <f t="shared" ca="1" si="6"/>
        <v>0</v>
      </c>
      <c r="Q24" s="2"/>
      <c r="R24" s="13"/>
      <c r="S24" s="20">
        <f t="shared" ca="1" si="7"/>
        <v>0</v>
      </c>
    </row>
    <row r="25" spans="3:19" x14ac:dyDescent="0.25">
      <c r="C25" s="25" t="s">
        <v>118</v>
      </c>
      <c r="D25" s="18" t="e">
        <f t="shared" ca="1" si="5"/>
        <v>#N/A</v>
      </c>
      <c r="E25" s="18" t="e">
        <f t="shared" ca="1" si="0"/>
        <v>#N/A</v>
      </c>
      <c r="F25" s="24" t="s">
        <v>119</v>
      </c>
      <c r="G25" s="19"/>
      <c r="H25" s="21">
        <f t="shared" ca="1" si="1"/>
        <v>0</v>
      </c>
      <c r="I25" s="18">
        <f t="shared" ca="1" si="2"/>
        <v>0</v>
      </c>
      <c r="J25" s="18">
        <f t="shared" ca="1" si="3"/>
        <v>0</v>
      </c>
      <c r="K25" s="1"/>
      <c r="L25" s="13"/>
      <c r="M25" s="14"/>
      <c r="N25" s="3"/>
      <c r="O25" s="1">
        <f t="shared" si="4"/>
        <v>0</v>
      </c>
      <c r="P25" s="20">
        <f t="shared" ca="1" si="6"/>
        <v>0</v>
      </c>
      <c r="Q25" s="2"/>
      <c r="R25" s="13"/>
      <c r="S25" s="20">
        <f t="shared" ca="1" si="7"/>
        <v>0</v>
      </c>
    </row>
    <row r="26" spans="3:19" x14ac:dyDescent="0.25">
      <c r="C26" s="25" t="s">
        <v>118</v>
      </c>
      <c r="D26" s="18" t="e">
        <f t="shared" ca="1" si="5"/>
        <v>#N/A</v>
      </c>
      <c r="E26" s="18" t="e">
        <f t="shared" ca="1" si="0"/>
        <v>#N/A</v>
      </c>
      <c r="F26" s="24" t="s">
        <v>119</v>
      </c>
      <c r="G26" s="19"/>
      <c r="H26" s="21">
        <f t="shared" ca="1" si="1"/>
        <v>0</v>
      </c>
      <c r="I26" s="18">
        <f t="shared" ca="1" si="2"/>
        <v>0</v>
      </c>
      <c r="J26" s="18">
        <f t="shared" ca="1" si="3"/>
        <v>0</v>
      </c>
      <c r="K26" s="1"/>
      <c r="L26" s="13"/>
      <c r="M26" s="14"/>
      <c r="N26" s="3"/>
      <c r="O26" s="1">
        <f t="shared" si="4"/>
        <v>0</v>
      </c>
      <c r="P26" s="20">
        <f t="shared" ca="1" si="6"/>
        <v>0</v>
      </c>
      <c r="Q26" s="2"/>
      <c r="R26" s="13"/>
      <c r="S26" s="20">
        <f t="shared" ca="1" si="7"/>
        <v>0</v>
      </c>
    </row>
    <row r="27" spans="3:19" x14ac:dyDescent="0.25">
      <c r="C27" s="25" t="s">
        <v>118</v>
      </c>
      <c r="D27" s="18" t="e">
        <f t="shared" ca="1" si="5"/>
        <v>#N/A</v>
      </c>
      <c r="E27" s="18" t="e">
        <f t="shared" ca="1" si="0"/>
        <v>#N/A</v>
      </c>
      <c r="F27" s="24" t="s">
        <v>119</v>
      </c>
      <c r="G27" s="19"/>
      <c r="H27" s="21">
        <f t="shared" ca="1" si="1"/>
        <v>0</v>
      </c>
      <c r="I27" s="18">
        <f t="shared" ca="1" si="2"/>
        <v>0</v>
      </c>
      <c r="J27" s="18">
        <f t="shared" ca="1" si="3"/>
        <v>0</v>
      </c>
      <c r="K27" s="1"/>
      <c r="L27" s="13"/>
      <c r="M27" s="14"/>
      <c r="N27" s="3"/>
      <c r="O27" s="1">
        <f t="shared" si="4"/>
        <v>0</v>
      </c>
      <c r="P27" s="20">
        <f t="shared" ca="1" si="6"/>
        <v>0</v>
      </c>
      <c r="Q27" s="2"/>
      <c r="R27" s="13"/>
      <c r="S27" s="20">
        <f t="shared" ca="1" si="7"/>
        <v>0</v>
      </c>
    </row>
    <row r="28" spans="3:19" x14ac:dyDescent="0.25">
      <c r="C28" s="25" t="s">
        <v>118</v>
      </c>
      <c r="D28" s="18" t="e">
        <f t="shared" ca="1" si="5"/>
        <v>#N/A</v>
      </c>
      <c r="E28" s="18" t="e">
        <f t="shared" ca="1" si="0"/>
        <v>#N/A</v>
      </c>
      <c r="F28" s="24" t="s">
        <v>119</v>
      </c>
      <c r="G28" s="19"/>
      <c r="H28" s="21">
        <f t="shared" ca="1" si="1"/>
        <v>0</v>
      </c>
      <c r="I28" s="18">
        <f t="shared" ca="1" si="2"/>
        <v>0</v>
      </c>
      <c r="J28" s="18">
        <f t="shared" ca="1" si="3"/>
        <v>0</v>
      </c>
      <c r="K28" s="1"/>
      <c r="L28" s="13"/>
      <c r="M28" s="14"/>
      <c r="N28" s="3"/>
      <c r="O28" s="1">
        <f t="shared" si="4"/>
        <v>0</v>
      </c>
      <c r="P28" s="20">
        <f t="shared" ca="1" si="6"/>
        <v>0</v>
      </c>
      <c r="Q28" s="2"/>
      <c r="R28" s="13"/>
      <c r="S28" s="20">
        <f t="shared" ca="1" si="7"/>
        <v>0</v>
      </c>
    </row>
    <row r="29" spans="3:19" x14ac:dyDescent="0.25">
      <c r="C29" s="25" t="s">
        <v>118</v>
      </c>
      <c r="D29" s="18" t="e">
        <f t="shared" ca="1" si="5"/>
        <v>#N/A</v>
      </c>
      <c r="E29" s="18" t="e">
        <f t="shared" ca="1" si="0"/>
        <v>#N/A</v>
      </c>
      <c r="F29" s="24" t="s">
        <v>119</v>
      </c>
      <c r="G29" s="19"/>
      <c r="H29" s="21">
        <f t="shared" ca="1" si="1"/>
        <v>0</v>
      </c>
      <c r="I29" s="18">
        <f t="shared" ca="1" si="2"/>
        <v>0</v>
      </c>
      <c r="J29" s="18">
        <f t="shared" ca="1" si="3"/>
        <v>0</v>
      </c>
      <c r="K29" s="1"/>
      <c r="L29" s="13"/>
      <c r="M29" s="14"/>
      <c r="N29" s="3"/>
      <c r="O29" s="1">
        <f t="shared" si="4"/>
        <v>0</v>
      </c>
      <c r="P29" s="20">
        <f t="shared" ca="1" si="6"/>
        <v>0</v>
      </c>
      <c r="Q29" s="2"/>
      <c r="R29" s="13"/>
      <c r="S29" s="20">
        <f t="shared" ca="1" si="7"/>
        <v>0</v>
      </c>
    </row>
    <row r="30" spans="3:19" x14ac:dyDescent="0.25">
      <c r="C30" s="25" t="s">
        <v>118</v>
      </c>
      <c r="D30" s="18" t="e">
        <f t="shared" ca="1" si="5"/>
        <v>#N/A</v>
      </c>
      <c r="E30" s="18" t="e">
        <f t="shared" ca="1" si="0"/>
        <v>#N/A</v>
      </c>
      <c r="F30" s="24" t="s">
        <v>119</v>
      </c>
      <c r="G30" s="19"/>
      <c r="H30" s="21">
        <f t="shared" ca="1" si="1"/>
        <v>0</v>
      </c>
      <c r="I30" s="18">
        <f t="shared" ca="1" si="2"/>
        <v>0</v>
      </c>
      <c r="J30" s="18">
        <f t="shared" ca="1" si="3"/>
        <v>0</v>
      </c>
      <c r="K30" s="1"/>
      <c r="L30" s="13"/>
      <c r="M30" s="14"/>
      <c r="N30" s="3"/>
      <c r="O30" s="1">
        <f t="shared" si="4"/>
        <v>0</v>
      </c>
      <c r="P30" s="20">
        <f t="shared" ca="1" si="6"/>
        <v>0</v>
      </c>
      <c r="Q30" s="2"/>
      <c r="R30" s="13"/>
      <c r="S30" s="20">
        <f t="shared" ca="1" si="7"/>
        <v>0</v>
      </c>
    </row>
    <row r="31" spans="3:19" x14ac:dyDescent="0.25">
      <c r="C31" s="25" t="s">
        <v>118</v>
      </c>
      <c r="D31" s="18" t="e">
        <f t="shared" ca="1" si="5"/>
        <v>#N/A</v>
      </c>
      <c r="E31" s="18" t="e">
        <f t="shared" ca="1" si="0"/>
        <v>#N/A</v>
      </c>
      <c r="F31" s="24" t="s">
        <v>119</v>
      </c>
      <c r="G31" s="19"/>
      <c r="H31" s="21">
        <f t="shared" ca="1" si="1"/>
        <v>0</v>
      </c>
      <c r="I31" s="18">
        <f t="shared" ca="1" si="2"/>
        <v>0</v>
      </c>
      <c r="J31" s="18">
        <f t="shared" ca="1" si="3"/>
        <v>0</v>
      </c>
      <c r="K31" s="1"/>
      <c r="L31" s="13"/>
      <c r="M31" s="14"/>
      <c r="N31" s="3"/>
      <c r="O31" s="1">
        <f t="shared" si="4"/>
        <v>0</v>
      </c>
      <c r="P31" s="20">
        <f t="shared" ca="1" si="6"/>
        <v>0</v>
      </c>
      <c r="Q31" s="2"/>
      <c r="R31" s="13"/>
      <c r="S31" s="20">
        <f t="shared" ca="1" si="7"/>
        <v>0</v>
      </c>
    </row>
    <row r="32" spans="3:19" x14ac:dyDescent="0.25">
      <c r="C32" s="25" t="s">
        <v>118</v>
      </c>
      <c r="D32" s="18" t="e">
        <f t="shared" ca="1" si="5"/>
        <v>#N/A</v>
      </c>
      <c r="E32" s="18" t="e">
        <f t="shared" ca="1" si="0"/>
        <v>#N/A</v>
      </c>
      <c r="F32" s="24" t="s">
        <v>119</v>
      </c>
      <c r="G32" s="19"/>
      <c r="H32" s="21">
        <f t="shared" ca="1" si="1"/>
        <v>0</v>
      </c>
      <c r="I32" s="18">
        <f t="shared" ca="1" si="2"/>
        <v>0</v>
      </c>
      <c r="J32" s="18">
        <f t="shared" ca="1" si="3"/>
        <v>0</v>
      </c>
      <c r="K32" s="1"/>
      <c r="L32" s="13"/>
      <c r="M32" s="14"/>
      <c r="N32" s="3"/>
      <c r="O32" s="1">
        <f t="shared" si="4"/>
        <v>0</v>
      </c>
      <c r="P32" s="20">
        <f t="shared" ca="1" si="6"/>
        <v>0</v>
      </c>
      <c r="Q32" s="2"/>
      <c r="R32" s="13"/>
      <c r="S32" s="20">
        <f t="shared" ca="1" si="7"/>
        <v>0</v>
      </c>
    </row>
    <row r="33" spans="3:19" x14ac:dyDescent="0.25">
      <c r="C33" s="25" t="s">
        <v>118</v>
      </c>
      <c r="D33" s="18" t="e">
        <f t="shared" ca="1" si="5"/>
        <v>#N/A</v>
      </c>
      <c r="E33" s="18" t="e">
        <f t="shared" ca="1" si="0"/>
        <v>#N/A</v>
      </c>
      <c r="F33" s="24" t="s">
        <v>119</v>
      </c>
      <c r="G33" s="19"/>
      <c r="H33" s="21">
        <f t="shared" ca="1" si="1"/>
        <v>0</v>
      </c>
      <c r="I33" s="18">
        <f t="shared" ca="1" si="2"/>
        <v>0</v>
      </c>
      <c r="J33" s="18">
        <f t="shared" ca="1" si="3"/>
        <v>0</v>
      </c>
      <c r="K33" s="1"/>
      <c r="L33" s="13"/>
      <c r="M33" s="14"/>
      <c r="N33" s="3"/>
      <c r="O33" s="1">
        <f t="shared" si="4"/>
        <v>0</v>
      </c>
      <c r="P33" s="20">
        <f t="shared" ca="1" si="6"/>
        <v>0</v>
      </c>
      <c r="Q33" s="2"/>
      <c r="R33" s="13"/>
      <c r="S33" s="20">
        <f t="shared" ca="1" si="7"/>
        <v>0</v>
      </c>
    </row>
    <row r="34" spans="3:19" ht="15.75" thickBot="1" x14ac:dyDescent="0.3">
      <c r="D34" s="2"/>
      <c r="E34" s="2"/>
      <c r="F34" s="26" t="s">
        <v>129</v>
      </c>
      <c r="H34" s="2"/>
      <c r="I34" s="12"/>
      <c r="J34" s="12"/>
      <c r="L34" s="22"/>
      <c r="M34" s="23"/>
      <c r="N34" s="23"/>
      <c r="O34" s="22"/>
      <c r="P34" s="22"/>
      <c r="Q34" s="2"/>
      <c r="R34" s="27">
        <f>SUM(R16:R33)</f>
        <v>0</v>
      </c>
      <c r="S34" s="28">
        <f ca="1">SUM(S16:S33)</f>
        <v>0</v>
      </c>
    </row>
    <row r="35" spans="3:19" ht="15.75" thickTop="1" x14ac:dyDescent="0.25"/>
    <row r="54" spans="3:8" x14ac:dyDescent="0.25">
      <c r="C54" s="31" t="s">
        <v>130</v>
      </c>
    </row>
    <row r="56" spans="3:8" x14ac:dyDescent="0.25">
      <c r="C56" t="s">
        <v>122</v>
      </c>
    </row>
    <row r="57" spans="3:8" x14ac:dyDescent="0.25">
      <c r="C57" s="29" t="s">
        <v>128</v>
      </c>
    </row>
    <row r="58" spans="3:8" x14ac:dyDescent="0.25">
      <c r="C58" t="s">
        <v>131</v>
      </c>
    </row>
    <row r="61" spans="3:8" x14ac:dyDescent="0.25">
      <c r="C61" s="31"/>
      <c r="H61" s="2"/>
    </row>
  </sheetData>
  <sheetProtection algorithmName="SHA-512" hashValue="9xj6LCVDzOS8ZByxHKU/sI2ihwJz3yI0q7LT4yho8AD7fAsEc4JqoK77hLh4x2zkkSwlB4oH1DNbSHZxcBZXlQ==" saltValue="Pm3ftrkxCk5PKOBjksltwA==" spinCount="100000" sheet="1" objects="1" scenarios="1"/>
  <mergeCells count="5">
    <mergeCell ref="R14:S14"/>
    <mergeCell ref="O14:P14"/>
    <mergeCell ref="L14:M14"/>
    <mergeCell ref="C14:F14"/>
    <mergeCell ref="H14:H15"/>
  </mergeCells>
  <dataValidations count="2">
    <dataValidation type="list" allowBlank="1" showInputMessage="1" showErrorMessage="1" prompt="Select" sqref="F16:F33" xr:uid="{00000000-0002-0000-0000-000000000000}">
      <formula1>OFFSET(LWCT,MATCH(C16,Group,0),4,COUNTIF(Group,C16),1)</formula1>
    </dataValidation>
    <dataValidation type="list" allowBlank="1" showInputMessage="1" showErrorMessage="1" prompt="Select" sqref="C16:C33" xr:uid="{00000000-0002-0000-0000-000001000000}">
      <formula1>GroupUnique</formula1>
    </dataValidation>
  </dataValidations>
  <hyperlinks>
    <hyperlink ref="C54" r:id="rId1" xr:uid="{00000000-0004-0000-0000-000000000000}"/>
    <hyperlink ref="M2" location="Overview!A1" display="Return to Overview" xr:uid="{00947623-C9E6-46FA-B250-3AEE4247851E}"/>
  </hyperlinks>
  <pageMargins left="1" right="0.25" top="0.75" bottom="0.5" header="0" footer="0"/>
  <pageSetup scale="61"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5A3CD-0052-459A-9E33-37B863848331}">
  <sheetPr codeName="Sheet4">
    <pageSetUpPr fitToPage="1"/>
  </sheetPr>
  <dimension ref="B1:AH117"/>
  <sheetViews>
    <sheetView showGridLines="0" showRowColHeaders="0" zoomScaleNormal="100" workbookViewId="0">
      <selection activeCell="E2" sqref="E2"/>
    </sheetView>
  </sheetViews>
  <sheetFormatPr defaultRowHeight="15" x14ac:dyDescent="0.25"/>
  <cols>
    <col min="1" max="1" width="0.7109375" customWidth="1"/>
    <col min="2" max="2" width="6.7109375" customWidth="1"/>
    <col min="3" max="3" width="57.140625" customWidth="1"/>
    <col min="4" max="4" width="20.140625" customWidth="1"/>
    <col min="5" max="5" width="17.7109375" customWidth="1"/>
    <col min="6" max="7" width="22.7109375" customWidth="1"/>
    <col min="8" max="9" width="11.42578125" customWidth="1"/>
    <col min="10" max="10" width="1.5703125" customWidth="1"/>
    <col min="11" max="11" width="13.7109375" customWidth="1"/>
    <col min="12" max="12" width="13.85546875" customWidth="1"/>
    <col min="13" max="13" width="12.5703125" customWidth="1"/>
    <col min="14" max="14" width="10.85546875" customWidth="1"/>
    <col min="15" max="15" width="9.7109375" customWidth="1"/>
    <col min="16" max="16" width="7.7109375" customWidth="1"/>
    <col min="17" max="17" width="11.140625" customWidth="1"/>
    <col min="18" max="18" width="1.5703125" customWidth="1"/>
    <col min="19" max="19" width="17.28515625" bestFit="1" customWidth="1"/>
    <col min="20" max="20" width="10.42578125" customWidth="1"/>
    <col min="21" max="21" width="13.85546875" customWidth="1"/>
    <col min="22" max="22" width="4.140625" customWidth="1"/>
    <col min="23" max="23" width="10.5703125" customWidth="1"/>
    <col min="24" max="24" width="2.42578125" customWidth="1"/>
    <col min="25" max="25" width="2.140625" customWidth="1"/>
    <col min="26" max="26" width="3.42578125" customWidth="1"/>
    <col min="27" max="27" width="9" customWidth="1"/>
    <col min="28" max="28" width="9.28515625" customWidth="1"/>
  </cols>
  <sheetData>
    <row r="1" spans="2:34" ht="15.75" thickBot="1" x14ac:dyDescent="0.3"/>
    <row r="2" spans="2:34" ht="27.75" thickTop="1" thickBot="1" x14ac:dyDescent="0.45">
      <c r="C2" s="281" t="s">
        <v>283</v>
      </c>
      <c r="D2" s="281"/>
      <c r="E2" s="284" t="s">
        <v>290</v>
      </c>
      <c r="G2" s="280">
        <v>44274</v>
      </c>
    </row>
    <row r="3" spans="2:34" ht="19.5" customHeight="1" thickTop="1" thickBot="1" x14ac:dyDescent="0.4">
      <c r="C3" s="279" t="s">
        <v>282</v>
      </c>
      <c r="D3" s="278"/>
      <c r="E3" s="277">
        <v>0</v>
      </c>
      <c r="F3" s="420" t="s">
        <v>281</v>
      </c>
      <c r="G3" s="421"/>
      <c r="H3" s="261"/>
      <c r="I3" s="276"/>
      <c r="K3" s="123"/>
      <c r="L3" s="123"/>
      <c r="M3" s="123"/>
      <c r="N3" s="123"/>
      <c r="O3" s="123"/>
      <c r="P3" s="123"/>
      <c r="Q3" s="8"/>
      <c r="R3" s="416"/>
      <c r="S3" s="123"/>
      <c r="T3" s="123"/>
      <c r="U3" s="123"/>
      <c r="V3" s="123"/>
      <c r="W3" s="123"/>
      <c r="X3" s="123"/>
      <c r="Y3" s="123"/>
      <c r="Z3" s="271"/>
    </row>
    <row r="4" spans="2:34" ht="32.25" customHeight="1" thickBot="1" x14ac:dyDescent="0.35">
      <c r="C4" s="275" t="s">
        <v>280</v>
      </c>
      <c r="D4" s="263"/>
      <c r="E4" s="274"/>
      <c r="F4" s="420" t="s">
        <v>279</v>
      </c>
      <c r="G4" s="421"/>
      <c r="H4" s="261"/>
      <c r="I4" s="8"/>
      <c r="K4" s="273"/>
      <c r="L4" s="273"/>
      <c r="M4" s="273"/>
      <c r="Q4" s="253"/>
      <c r="R4" s="416"/>
      <c r="S4" s="272"/>
      <c r="T4" s="272"/>
      <c r="U4" s="272"/>
      <c r="V4" s="272"/>
      <c r="W4" s="272"/>
      <c r="X4" s="273"/>
      <c r="Y4" s="272"/>
      <c r="Z4" s="271"/>
      <c r="AF4" s="414"/>
      <c r="AG4" s="414"/>
      <c r="AH4" s="414"/>
    </row>
    <row r="5" spans="2:34" ht="21.75" customHeight="1" thickBot="1" x14ac:dyDescent="0.35">
      <c r="C5" s="251" t="s">
        <v>278</v>
      </c>
      <c r="D5" s="263"/>
      <c r="E5" s="270">
        <v>0.03</v>
      </c>
      <c r="F5" s="401" t="s">
        <v>277</v>
      </c>
      <c r="G5" s="402"/>
      <c r="H5" s="261"/>
      <c r="I5" s="8"/>
      <c r="L5" s="134"/>
      <c r="M5" s="267"/>
      <c r="Q5" s="252"/>
      <c r="R5" s="416"/>
      <c r="S5" s="265"/>
      <c r="T5" s="265"/>
      <c r="U5" s="265"/>
      <c r="V5" s="265"/>
      <c r="W5" s="265"/>
      <c r="X5" s="266"/>
      <c r="Y5" s="265"/>
      <c r="Z5" s="208"/>
      <c r="AF5" s="264"/>
      <c r="AG5" s="264"/>
      <c r="AH5" s="264"/>
    </row>
    <row r="6" spans="2:34" ht="19.5" customHeight="1" thickBot="1" x14ac:dyDescent="0.35">
      <c r="C6" s="251" t="s">
        <v>276</v>
      </c>
      <c r="D6" s="269"/>
      <c r="E6" s="268">
        <f>E3*E5</f>
        <v>0</v>
      </c>
      <c r="F6" s="401" t="s">
        <v>275</v>
      </c>
      <c r="G6" s="402"/>
      <c r="H6" s="261"/>
      <c r="I6" s="8"/>
      <c r="L6" s="99"/>
      <c r="M6" s="267"/>
      <c r="Q6" s="252"/>
      <c r="R6" s="416"/>
      <c r="S6" s="265"/>
      <c r="T6" s="265"/>
      <c r="U6" s="265"/>
      <c r="V6" s="265"/>
      <c r="W6" s="265"/>
      <c r="X6" s="266"/>
      <c r="Y6" s="265"/>
      <c r="Z6" s="208"/>
      <c r="AF6" s="264"/>
      <c r="AG6" s="264"/>
      <c r="AH6" s="264"/>
    </row>
    <row r="7" spans="2:34" ht="19.5" customHeight="1" thickBot="1" x14ac:dyDescent="0.35">
      <c r="C7" s="251" t="s">
        <v>274</v>
      </c>
      <c r="D7" s="263"/>
      <c r="E7" s="262">
        <f>IF(E4&gt;0,E4,E6)</f>
        <v>0</v>
      </c>
      <c r="F7" s="403"/>
      <c r="G7" s="404"/>
      <c r="H7" s="261"/>
      <c r="I7" s="8"/>
      <c r="K7" s="395" t="s">
        <v>273</v>
      </c>
      <c r="L7" s="396"/>
      <c r="M7" s="396"/>
      <c r="N7" s="396"/>
      <c r="O7" s="396"/>
      <c r="P7" s="396"/>
      <c r="Q7" s="397"/>
      <c r="R7" s="416"/>
      <c r="S7" s="260"/>
      <c r="T7" s="260"/>
      <c r="U7" s="260"/>
      <c r="V7" s="260"/>
      <c r="W7" s="260"/>
      <c r="X7" s="261"/>
      <c r="Y7" s="260"/>
      <c r="Z7" s="208"/>
      <c r="AF7" s="415"/>
      <c r="AG7" s="415"/>
      <c r="AH7" s="415"/>
    </row>
    <row r="8" spans="2:34" ht="35.25" customHeight="1" thickBot="1" x14ac:dyDescent="0.35">
      <c r="C8" s="251" t="s">
        <v>272</v>
      </c>
      <c r="D8" s="250"/>
      <c r="E8" s="259">
        <v>1</v>
      </c>
      <c r="F8" s="258" t="s">
        <v>271</v>
      </c>
      <c r="G8" s="258" t="s">
        <v>270</v>
      </c>
      <c r="H8" s="225"/>
      <c r="I8" s="8"/>
      <c r="K8" s="398" t="str">
        <f>IF(E8=1,"Quantity of Dry Food reduced by amount of Liquid Added to Make Paste - Total Daily Food Amount Unchanged", "Quantity of Dry Food Unchanged - Total Daily Food Amount Increased by Amount of Liquid Added")</f>
        <v>Quantity of Dry Food reduced by amount of Liquid Added to Make Paste - Total Daily Food Amount Unchanged</v>
      </c>
      <c r="L8" s="399"/>
      <c r="M8" s="399"/>
      <c r="N8" s="399"/>
      <c r="O8" s="399"/>
      <c r="P8" s="399"/>
      <c r="Q8" s="400"/>
      <c r="R8" s="225"/>
      <c r="S8" s="252"/>
      <c r="T8" s="252"/>
      <c r="U8" s="252"/>
      <c r="V8" s="252"/>
      <c r="W8" s="252"/>
      <c r="X8" s="253"/>
      <c r="Y8" s="252"/>
      <c r="Z8" s="208"/>
      <c r="AF8" s="229"/>
      <c r="AG8" s="229"/>
      <c r="AH8" s="229"/>
    </row>
    <row r="9" spans="2:34" ht="19.5" customHeight="1" thickBot="1" x14ac:dyDescent="0.35">
      <c r="C9" s="251" t="s">
        <v>269</v>
      </c>
      <c r="D9" s="250"/>
      <c r="E9" s="257">
        <f ca="1">OFFSET(FoodTable,MATCH($F$9,FoodNameTable,0),0,-1,1)</f>
        <v>0</v>
      </c>
      <c r="F9" s="256" t="s">
        <v>192</v>
      </c>
      <c r="G9" s="255"/>
      <c r="H9" s="252"/>
      <c r="I9" s="254"/>
      <c r="K9" s="395" t="str">
        <f>F9</f>
        <v>Choose from Drop Down Box</v>
      </c>
      <c r="L9" s="396"/>
      <c r="M9" s="396"/>
      <c r="N9" s="396"/>
      <c r="O9" s="396"/>
      <c r="P9" s="396"/>
      <c r="Q9" s="397"/>
      <c r="R9" s="225"/>
      <c r="S9" s="252"/>
      <c r="T9" s="252"/>
      <c r="U9" s="252"/>
      <c r="V9" s="252"/>
      <c r="W9" s="252"/>
      <c r="X9" s="253"/>
      <c r="Y9" s="252"/>
      <c r="Z9" s="208"/>
      <c r="AF9" s="229"/>
      <c r="AG9" s="229"/>
      <c r="AH9" s="229"/>
    </row>
    <row r="10" spans="2:34" ht="15.75" customHeight="1" thickBot="1" x14ac:dyDescent="0.35">
      <c r="C10" s="251" t="s">
        <v>268</v>
      </c>
      <c r="D10" s="250"/>
      <c r="E10" s="241">
        <f ca="1">OFFSET(FoodTable,MATCH($F$9,FoodNameTable,0),10,-1,1)</f>
        <v>0</v>
      </c>
      <c r="F10" s="249" t="s">
        <v>267</v>
      </c>
      <c r="G10" s="248"/>
      <c r="H10" s="422" t="s">
        <v>266</v>
      </c>
      <c r="I10" s="247"/>
      <c r="K10" s="246" t="s">
        <v>265</v>
      </c>
      <c r="L10" s="245">
        <f ca="1">IF($E$8=2,$E$7,IFERROR($E$6*($E$6/(($E$6*$E$11)+$E$6)),0))</f>
        <v>0</v>
      </c>
      <c r="M10" s="244">
        <f ca="1">IFERROR(L10/L12,0)</f>
        <v>0</v>
      </c>
      <c r="N10" s="417" t="s">
        <v>264</v>
      </c>
      <c r="O10" s="417" t="s">
        <v>263</v>
      </c>
      <c r="P10" s="417" t="s">
        <v>262</v>
      </c>
      <c r="Q10" s="417" t="s">
        <v>261</v>
      </c>
      <c r="R10" s="416"/>
      <c r="W10" s="223"/>
      <c r="X10" s="224"/>
      <c r="Y10" s="223"/>
      <c r="Z10" s="208"/>
    </row>
    <row r="11" spans="2:34" ht="17.25" customHeight="1" thickBot="1" x14ac:dyDescent="0.35">
      <c r="C11" s="243" t="s">
        <v>260</v>
      </c>
      <c r="D11" s="242"/>
      <c r="E11" s="241">
        <f ca="1">OFFSET(FoodTable,MATCH($F$9,FoodNameTable,0),11,-1,1)</f>
        <v>0</v>
      </c>
      <c r="F11" s="240" t="s">
        <v>259</v>
      </c>
      <c r="G11" s="239"/>
      <c r="H11" s="423"/>
      <c r="I11" s="238"/>
      <c r="K11" s="237" t="s">
        <v>258</v>
      </c>
      <c r="L11" s="236">
        <f ca="1">IF($E$8 = 2,$E$7*$E$11,IFERROR($E$7*(($E$7*$E$11)/(($E$7*$E$11)+$E$7)),0))</f>
        <v>0</v>
      </c>
      <c r="M11" s="235">
        <f ca="1">IFERROR(L11/L12,0)</f>
        <v>0</v>
      </c>
      <c r="N11" s="418"/>
      <c r="O11" s="418"/>
      <c r="P11" s="418"/>
      <c r="Q11" s="418"/>
      <c r="R11" s="416"/>
      <c r="S11" s="8"/>
      <c r="T11" s="8"/>
      <c r="U11" s="8"/>
      <c r="V11" s="8"/>
      <c r="W11" s="223"/>
      <c r="X11" s="224"/>
      <c r="Y11" s="223"/>
      <c r="Z11" s="208"/>
    </row>
    <row r="12" spans="2:34" ht="70.5" customHeight="1" thickBot="1" x14ac:dyDescent="0.4">
      <c r="B12" s="124" t="s">
        <v>257</v>
      </c>
      <c r="C12" s="234" t="s">
        <v>256</v>
      </c>
      <c r="D12" s="233"/>
      <c r="E12" s="232" t="s">
        <v>255</v>
      </c>
      <c r="F12" s="124" t="s">
        <v>254</v>
      </c>
      <c r="G12" s="231" t="s">
        <v>253</v>
      </c>
      <c r="H12" s="424"/>
      <c r="I12" s="230" t="s">
        <v>252</v>
      </c>
      <c r="J12" s="229"/>
      <c r="K12" s="228" t="s">
        <v>251</v>
      </c>
      <c r="L12" s="227">
        <f ca="1">L10+L11</f>
        <v>0</v>
      </c>
      <c r="M12" s="226" t="s">
        <v>250</v>
      </c>
      <c r="N12" s="419"/>
      <c r="O12" s="419"/>
      <c r="P12" s="419"/>
      <c r="Q12" s="419"/>
      <c r="R12" s="416"/>
      <c r="S12" s="8"/>
      <c r="T12" s="8"/>
      <c r="U12" s="8"/>
      <c r="V12" s="8"/>
      <c r="W12" s="223"/>
      <c r="X12" s="224"/>
      <c r="Y12" s="223"/>
      <c r="Z12" s="208"/>
    </row>
    <row r="13" spans="2:34" ht="15.75" customHeight="1" thickBot="1" x14ac:dyDescent="0.3">
      <c r="B13" s="222">
        <v>0</v>
      </c>
      <c r="C13" s="221" t="s">
        <v>249</v>
      </c>
      <c r="D13" s="220"/>
      <c r="E13" s="219" t="s">
        <v>248</v>
      </c>
      <c r="F13" s="219" t="s">
        <v>247</v>
      </c>
      <c r="G13" s="218" t="s">
        <v>246</v>
      </c>
      <c r="H13" s="217" t="s">
        <v>0</v>
      </c>
      <c r="I13" s="181" t="s">
        <v>245</v>
      </c>
      <c r="J13" s="216"/>
      <c r="K13" s="181" t="s">
        <v>244</v>
      </c>
      <c r="L13" s="181" t="s">
        <v>243</v>
      </c>
      <c r="M13" s="129" t="s">
        <v>242</v>
      </c>
      <c r="N13" s="181" t="s">
        <v>241</v>
      </c>
      <c r="O13" s="124" t="s">
        <v>241</v>
      </c>
      <c r="P13" s="181" t="s">
        <v>241</v>
      </c>
      <c r="Q13" s="181" t="s">
        <v>241</v>
      </c>
      <c r="R13" s="26"/>
      <c r="T13" s="86"/>
      <c r="U13" s="88"/>
      <c r="V13" s="88"/>
      <c r="W13" s="26"/>
      <c r="X13" s="26"/>
      <c r="Y13" s="26"/>
      <c r="Z13" s="208"/>
    </row>
    <row r="14" spans="2:34" ht="15.75" customHeight="1" x14ac:dyDescent="0.25">
      <c r="B14" s="199">
        <v>1</v>
      </c>
      <c r="C14" s="198" t="s">
        <v>240</v>
      </c>
      <c r="D14" s="114"/>
      <c r="E14" s="1">
        <v>10</v>
      </c>
      <c r="F14" s="192" t="s">
        <v>232</v>
      </c>
      <c r="G14" s="191">
        <f>E14/1000*$E$3</f>
        <v>0</v>
      </c>
      <c r="H14" s="204">
        <v>10</v>
      </c>
      <c r="I14" s="215">
        <f t="shared" ref="I14:I22" si="0">IF(F14="Y",G14*H14,0)</f>
        <v>0</v>
      </c>
      <c r="J14" s="203"/>
      <c r="K14" s="214">
        <f t="shared" ref="K14:K22" si="1">IF($F14="N",0,$L$10*H14)</f>
        <v>0</v>
      </c>
      <c r="L14" s="213">
        <f t="shared" ref="L14:L22" si="2" xml:space="preserve"> IF($F14="N",0,$L$11*H14)</f>
        <v>0</v>
      </c>
      <c r="M14" s="212">
        <f t="shared" ref="M14:M22" si="3">K14+L14</f>
        <v>0</v>
      </c>
      <c r="N14" s="211">
        <f t="shared" ref="N14:N22" si="4">IF($F14="N",0,K14/$E$10)</f>
        <v>0</v>
      </c>
      <c r="O14" s="210">
        <f t="shared" ref="O14:O22" si="5">IF($F14="N", 0, $L14/10)</f>
        <v>0</v>
      </c>
      <c r="P14" s="210">
        <f t="shared" ref="P14:P22" si="6">N14+O14</f>
        <v>0</v>
      </c>
      <c r="Q14" s="209">
        <f t="shared" ref="Q14:Q22" si="7">IF(P14&gt;0,P14/H14,0)</f>
        <v>0</v>
      </c>
      <c r="T14" s="86"/>
      <c r="U14" s="88"/>
      <c r="V14" s="88"/>
      <c r="W14" s="99"/>
      <c r="X14" s="99"/>
      <c r="Y14" s="99"/>
      <c r="Z14" s="208"/>
    </row>
    <row r="15" spans="2:34" ht="15.75" x14ac:dyDescent="0.25">
      <c r="B15" s="199">
        <v>2</v>
      </c>
      <c r="C15" s="198" t="s">
        <v>239</v>
      </c>
      <c r="D15" s="114"/>
      <c r="E15" s="1">
        <v>100</v>
      </c>
      <c r="F15" s="192" t="s">
        <v>232</v>
      </c>
      <c r="G15" s="191">
        <f>E15/1000*$E$3</f>
        <v>0</v>
      </c>
      <c r="H15" s="204">
        <v>21</v>
      </c>
      <c r="I15" s="201">
        <f t="shared" si="0"/>
        <v>0</v>
      </c>
      <c r="J15" s="203"/>
      <c r="K15" s="188">
        <f t="shared" si="1"/>
        <v>0</v>
      </c>
      <c r="L15" s="187">
        <f t="shared" si="2"/>
        <v>0</v>
      </c>
      <c r="M15" s="186">
        <f t="shared" si="3"/>
        <v>0</v>
      </c>
      <c r="N15" s="188">
        <f t="shared" si="4"/>
        <v>0</v>
      </c>
      <c r="O15" s="187">
        <f t="shared" si="5"/>
        <v>0</v>
      </c>
      <c r="P15" s="187">
        <f t="shared" si="6"/>
        <v>0</v>
      </c>
      <c r="Q15" s="196">
        <f t="shared" si="7"/>
        <v>0</v>
      </c>
      <c r="T15" s="207"/>
      <c r="U15" s="88"/>
      <c r="V15" s="88"/>
      <c r="W15" s="99"/>
      <c r="X15" s="99"/>
      <c r="Y15" s="99"/>
      <c r="AF15" s="134"/>
      <c r="AG15" s="85"/>
      <c r="AH15" s="99"/>
    </row>
    <row r="16" spans="2:34" ht="15.75" x14ac:dyDescent="0.25">
      <c r="B16" s="199">
        <v>3</v>
      </c>
      <c r="C16" s="198" t="s">
        <v>238</v>
      </c>
      <c r="D16" s="114"/>
      <c r="E16" s="1">
        <v>50</v>
      </c>
      <c r="F16" s="192" t="s">
        <v>232</v>
      </c>
      <c r="G16" s="191">
        <f>E16/1000*$E$3</f>
        <v>0</v>
      </c>
      <c r="H16" s="204">
        <v>5</v>
      </c>
      <c r="I16" s="201">
        <f t="shared" si="0"/>
        <v>0</v>
      </c>
      <c r="J16" s="203"/>
      <c r="K16" s="188">
        <f t="shared" si="1"/>
        <v>0</v>
      </c>
      <c r="L16" s="187">
        <f t="shared" si="2"/>
        <v>0</v>
      </c>
      <c r="M16" s="186">
        <f t="shared" si="3"/>
        <v>0</v>
      </c>
      <c r="N16" s="188">
        <f t="shared" si="4"/>
        <v>0</v>
      </c>
      <c r="O16" s="187">
        <f t="shared" si="5"/>
        <v>0</v>
      </c>
      <c r="P16" s="187">
        <f t="shared" si="6"/>
        <v>0</v>
      </c>
      <c r="Q16" s="196">
        <f t="shared" si="7"/>
        <v>0</v>
      </c>
      <c r="S16" s="205"/>
      <c r="T16" s="86"/>
      <c r="U16" s="88"/>
      <c r="V16" s="88"/>
      <c r="W16" s="99"/>
      <c r="X16" s="99"/>
      <c r="Y16" s="99"/>
      <c r="AF16" s="134"/>
      <c r="AG16" s="85"/>
      <c r="AH16" s="99"/>
    </row>
    <row r="17" spans="2:34" ht="15.75" x14ac:dyDescent="0.25">
      <c r="B17" s="199">
        <v>4</v>
      </c>
      <c r="C17" s="198" t="s">
        <v>237</v>
      </c>
      <c r="D17" s="114"/>
      <c r="E17" s="206">
        <v>0.03</v>
      </c>
      <c r="F17" s="192" t="s">
        <v>232</v>
      </c>
      <c r="G17" s="191">
        <f>IF(F17="y",E17*E7,0)</f>
        <v>0</v>
      </c>
      <c r="H17" s="204">
        <v>3</v>
      </c>
      <c r="I17" s="201">
        <f t="shared" si="0"/>
        <v>0</v>
      </c>
      <c r="J17" s="203"/>
      <c r="K17" s="188">
        <f t="shared" si="1"/>
        <v>0</v>
      </c>
      <c r="L17" s="187">
        <f t="shared" si="2"/>
        <v>0</v>
      </c>
      <c r="M17" s="186">
        <f t="shared" si="3"/>
        <v>0</v>
      </c>
      <c r="N17" s="188">
        <f t="shared" si="4"/>
        <v>0</v>
      </c>
      <c r="O17" s="187">
        <f t="shared" si="5"/>
        <v>0</v>
      </c>
      <c r="P17" s="187">
        <f t="shared" si="6"/>
        <v>0</v>
      </c>
      <c r="Q17" s="196">
        <f t="shared" si="7"/>
        <v>0</v>
      </c>
      <c r="S17" s="205"/>
      <c r="T17" s="86"/>
      <c r="U17" s="88"/>
      <c r="V17" s="88"/>
      <c r="W17" s="99"/>
      <c r="X17" s="99"/>
      <c r="Y17" s="99"/>
      <c r="AF17" s="134"/>
      <c r="AG17" s="85"/>
      <c r="AH17" s="99"/>
    </row>
    <row r="18" spans="2:34" ht="15.75" x14ac:dyDescent="0.25">
      <c r="B18" s="199">
        <v>5</v>
      </c>
      <c r="C18" s="198" t="s">
        <v>236</v>
      </c>
      <c r="D18" s="114"/>
      <c r="E18" s="1">
        <v>100</v>
      </c>
      <c r="F18" s="192" t="s">
        <v>232</v>
      </c>
      <c r="G18" s="191">
        <f>E18/1000*$E$3</f>
        <v>0</v>
      </c>
      <c r="H18" s="204">
        <v>3</v>
      </c>
      <c r="I18" s="201">
        <f t="shared" si="0"/>
        <v>0</v>
      </c>
      <c r="J18" s="203"/>
      <c r="K18" s="188">
        <f t="shared" si="1"/>
        <v>0</v>
      </c>
      <c r="L18" s="187">
        <f t="shared" si="2"/>
        <v>0</v>
      </c>
      <c r="M18" s="186">
        <f t="shared" si="3"/>
        <v>0</v>
      </c>
      <c r="N18" s="188">
        <f t="shared" si="4"/>
        <v>0</v>
      </c>
      <c r="O18" s="187">
        <f t="shared" si="5"/>
        <v>0</v>
      </c>
      <c r="P18" s="187">
        <f t="shared" si="6"/>
        <v>0</v>
      </c>
      <c r="Q18" s="196">
        <f t="shared" si="7"/>
        <v>0</v>
      </c>
      <c r="T18" s="86"/>
      <c r="U18" s="88"/>
      <c r="V18" s="88"/>
      <c r="W18" s="99"/>
      <c r="X18" s="99"/>
      <c r="Y18" s="99"/>
      <c r="AF18" s="134"/>
      <c r="AG18" s="85"/>
      <c r="AH18" s="99"/>
    </row>
    <row r="19" spans="2:34" ht="15.75" x14ac:dyDescent="0.25">
      <c r="B19" s="199">
        <v>6</v>
      </c>
      <c r="C19" s="198" t="s">
        <v>235</v>
      </c>
      <c r="D19" s="114"/>
      <c r="E19" s="1">
        <v>83</v>
      </c>
      <c r="F19" s="192" t="s">
        <v>232</v>
      </c>
      <c r="G19" s="191">
        <f>E19/1000*$E$3</f>
        <v>0</v>
      </c>
      <c r="H19" s="204">
        <v>10</v>
      </c>
      <c r="I19" s="201">
        <f t="shared" si="0"/>
        <v>0</v>
      </c>
      <c r="J19" s="203"/>
      <c r="K19" s="188">
        <f t="shared" si="1"/>
        <v>0</v>
      </c>
      <c r="L19" s="187">
        <f t="shared" si="2"/>
        <v>0</v>
      </c>
      <c r="M19" s="186">
        <f t="shared" si="3"/>
        <v>0</v>
      </c>
      <c r="N19" s="188">
        <f t="shared" si="4"/>
        <v>0</v>
      </c>
      <c r="O19" s="187">
        <f t="shared" si="5"/>
        <v>0</v>
      </c>
      <c r="P19" s="187">
        <f t="shared" si="6"/>
        <v>0</v>
      </c>
      <c r="Q19" s="196">
        <f t="shared" si="7"/>
        <v>0</v>
      </c>
      <c r="T19" s="86"/>
      <c r="U19" s="88"/>
      <c r="V19" s="88"/>
      <c r="W19" s="99"/>
      <c r="X19" s="99"/>
      <c r="Y19" s="99"/>
      <c r="AF19" s="134"/>
      <c r="AG19" s="85"/>
      <c r="AH19" s="99"/>
    </row>
    <row r="20" spans="2:34" ht="15.75" x14ac:dyDescent="0.25">
      <c r="B20" s="199">
        <v>7</v>
      </c>
      <c r="C20" s="198" t="s">
        <v>234</v>
      </c>
      <c r="D20" s="114"/>
      <c r="E20" s="1">
        <v>50</v>
      </c>
      <c r="F20" s="192" t="s">
        <v>232</v>
      </c>
      <c r="G20" s="191">
        <f>E20/1000*$E$3</f>
        <v>0</v>
      </c>
      <c r="H20" s="202">
        <v>2</v>
      </c>
      <c r="I20" s="201">
        <f t="shared" si="0"/>
        <v>0</v>
      </c>
      <c r="J20" s="200"/>
      <c r="K20" s="188">
        <f t="shared" si="1"/>
        <v>0</v>
      </c>
      <c r="L20" s="187">
        <f t="shared" si="2"/>
        <v>0</v>
      </c>
      <c r="M20" s="186">
        <f t="shared" si="3"/>
        <v>0</v>
      </c>
      <c r="N20" s="188">
        <f t="shared" si="4"/>
        <v>0</v>
      </c>
      <c r="O20" s="187">
        <f t="shared" si="5"/>
        <v>0</v>
      </c>
      <c r="P20" s="187">
        <f t="shared" si="6"/>
        <v>0</v>
      </c>
      <c r="Q20" s="196">
        <f t="shared" si="7"/>
        <v>0</v>
      </c>
      <c r="T20" s="86"/>
      <c r="U20" s="88"/>
      <c r="V20" s="88"/>
      <c r="W20" s="99"/>
      <c r="X20" s="99"/>
      <c r="Y20" s="99"/>
      <c r="AF20" s="134"/>
      <c r="AG20" s="85"/>
      <c r="AH20" s="99"/>
    </row>
    <row r="21" spans="2:34" ht="15.75" x14ac:dyDescent="0.25">
      <c r="B21" s="199">
        <v>8</v>
      </c>
      <c r="C21" s="198" t="s">
        <v>233</v>
      </c>
      <c r="D21" s="114"/>
      <c r="E21" s="1">
        <v>50</v>
      </c>
      <c r="F21" s="192" t="s">
        <v>232</v>
      </c>
      <c r="G21" s="191">
        <f>E21/1000*$E$3</f>
        <v>0</v>
      </c>
      <c r="H21" s="197">
        <v>3</v>
      </c>
      <c r="I21" s="189">
        <f t="shared" si="0"/>
        <v>0</v>
      </c>
      <c r="J21" s="135"/>
      <c r="K21" s="188">
        <f t="shared" si="1"/>
        <v>0</v>
      </c>
      <c r="L21" s="187">
        <f t="shared" si="2"/>
        <v>0</v>
      </c>
      <c r="M21" s="186">
        <f t="shared" si="3"/>
        <v>0</v>
      </c>
      <c r="N21" s="188">
        <f t="shared" si="4"/>
        <v>0</v>
      </c>
      <c r="O21" s="187">
        <f t="shared" si="5"/>
        <v>0</v>
      </c>
      <c r="P21" s="187">
        <f t="shared" si="6"/>
        <v>0</v>
      </c>
      <c r="Q21" s="196">
        <f t="shared" si="7"/>
        <v>0</v>
      </c>
      <c r="T21" s="86"/>
      <c r="U21" s="88"/>
      <c r="V21" s="88"/>
      <c r="W21" s="99"/>
      <c r="X21" s="99"/>
      <c r="Y21" s="99"/>
      <c r="AF21" s="134"/>
      <c r="AG21" s="85"/>
      <c r="AH21" s="99"/>
    </row>
    <row r="22" spans="2:34" ht="16.5" thickBot="1" x14ac:dyDescent="0.3">
      <c r="B22" s="195">
        <v>9</v>
      </c>
      <c r="C22" s="194" t="s">
        <v>182</v>
      </c>
      <c r="D22" s="193"/>
      <c r="E22" s="192">
        <v>0</v>
      </c>
      <c r="F22" s="192" t="s">
        <v>232</v>
      </c>
      <c r="G22" s="191">
        <f>E22/1000*$E$3</f>
        <v>0</v>
      </c>
      <c r="H22" s="190"/>
      <c r="I22" s="189">
        <f t="shared" si="0"/>
        <v>0</v>
      </c>
      <c r="J22" s="135"/>
      <c r="K22" s="188">
        <f t="shared" si="1"/>
        <v>0</v>
      </c>
      <c r="L22" s="187">
        <f t="shared" si="2"/>
        <v>0</v>
      </c>
      <c r="M22" s="186">
        <f t="shared" si="3"/>
        <v>0</v>
      </c>
      <c r="N22" s="185">
        <f t="shared" si="4"/>
        <v>0</v>
      </c>
      <c r="O22" s="184">
        <f t="shared" si="5"/>
        <v>0</v>
      </c>
      <c r="P22" s="184">
        <f t="shared" si="6"/>
        <v>0</v>
      </c>
      <c r="Q22" s="183">
        <f t="shared" si="7"/>
        <v>0</v>
      </c>
      <c r="T22" s="86"/>
      <c r="U22" s="88"/>
      <c r="V22" s="88"/>
      <c r="W22" s="99"/>
      <c r="X22" s="99"/>
      <c r="Y22" s="99"/>
      <c r="AF22" s="134"/>
      <c r="AG22" s="85"/>
      <c r="AH22" s="99"/>
    </row>
    <row r="23" spans="2:34" ht="34.5" customHeight="1" thickBot="1" x14ac:dyDescent="0.3">
      <c r="C23" s="182" t="s">
        <v>231</v>
      </c>
      <c r="D23" s="181" t="s">
        <v>230</v>
      </c>
      <c r="E23" s="180" t="s">
        <v>229</v>
      </c>
      <c r="F23" s="179" t="s">
        <v>228</v>
      </c>
      <c r="G23" s="124" t="s">
        <v>227</v>
      </c>
      <c r="H23" s="178" t="s">
        <v>226</v>
      </c>
      <c r="I23" s="177" t="s">
        <v>225</v>
      </c>
      <c r="J23" s="176"/>
      <c r="K23" s="175"/>
      <c r="L23" s="175"/>
      <c r="M23" s="175"/>
      <c r="N23" s="175"/>
      <c r="O23" s="175"/>
      <c r="P23" s="175"/>
      <c r="Q23" s="175"/>
      <c r="T23" s="86"/>
      <c r="U23" s="88"/>
      <c r="V23" s="88"/>
      <c r="W23" s="99"/>
      <c r="X23" s="99"/>
      <c r="Y23" s="99"/>
      <c r="AF23" s="134"/>
      <c r="AG23" s="85"/>
      <c r="AH23" s="99"/>
    </row>
    <row r="24" spans="2:34" ht="15.75" x14ac:dyDescent="0.25">
      <c r="C24" s="174" t="s">
        <v>224</v>
      </c>
      <c r="D24" s="173" t="s">
        <v>209</v>
      </c>
      <c r="E24" s="172">
        <v>0.7</v>
      </c>
      <c r="F24" s="171">
        <v>125</v>
      </c>
      <c r="G24" s="170">
        <f>E24*F24</f>
        <v>87.5</v>
      </c>
      <c r="H24" s="169">
        <f>G18/G24</f>
        <v>0</v>
      </c>
      <c r="I24" s="168">
        <f>H24*F24</f>
        <v>0</v>
      </c>
      <c r="J24" s="135"/>
      <c r="K24" s="99"/>
      <c r="L24" s="99"/>
      <c r="M24" s="99"/>
      <c r="N24" s="99"/>
      <c r="O24" s="99"/>
      <c r="P24" s="99"/>
      <c r="Q24" s="99"/>
      <c r="T24" s="86"/>
      <c r="U24" s="88"/>
      <c r="V24" s="88"/>
      <c r="W24" s="99"/>
      <c r="X24" s="99"/>
      <c r="Y24" s="99"/>
      <c r="AF24" s="134"/>
      <c r="AG24" s="85"/>
      <c r="AH24" s="99"/>
    </row>
    <row r="25" spans="2:34" ht="15.75" x14ac:dyDescent="0.25">
      <c r="C25" s="149" t="s">
        <v>223</v>
      </c>
      <c r="D25" s="106" t="s">
        <v>222</v>
      </c>
      <c r="E25" s="148">
        <v>0.32</v>
      </c>
      <c r="F25" s="147">
        <v>125</v>
      </c>
      <c r="G25" s="143">
        <f>E25*F25</f>
        <v>40</v>
      </c>
      <c r="H25" s="146">
        <f>G16/G25</f>
        <v>0</v>
      </c>
      <c r="I25" s="142">
        <f>H25*F25</f>
        <v>0</v>
      </c>
      <c r="J25" s="135"/>
      <c r="K25" s="99"/>
      <c r="L25" s="99"/>
      <c r="M25" s="99"/>
      <c r="N25" s="99"/>
      <c r="O25" s="99"/>
      <c r="P25" s="99"/>
      <c r="Q25" s="99"/>
      <c r="T25" s="86"/>
      <c r="U25" s="88"/>
      <c r="V25" s="88"/>
      <c r="W25" s="99"/>
      <c r="X25" s="99"/>
      <c r="Y25" s="99"/>
      <c r="AF25" s="134"/>
      <c r="AG25" s="85"/>
      <c r="AH25" s="99"/>
    </row>
    <row r="26" spans="2:34" ht="15.75" x14ac:dyDescent="0.25">
      <c r="C26" s="149" t="s">
        <v>221</v>
      </c>
      <c r="D26" s="106" t="s">
        <v>220</v>
      </c>
      <c r="E26" s="167" t="s">
        <v>219</v>
      </c>
      <c r="F26" s="147">
        <v>125</v>
      </c>
      <c r="G26" s="408" t="s">
        <v>218</v>
      </c>
      <c r="H26" s="409"/>
      <c r="I26" s="410"/>
      <c r="J26" s="135"/>
      <c r="K26" s="99"/>
      <c r="L26" s="99"/>
      <c r="M26" s="99"/>
      <c r="N26" s="99"/>
      <c r="O26" s="99"/>
      <c r="P26" s="99"/>
      <c r="Q26" s="99"/>
      <c r="T26" s="86"/>
      <c r="U26" s="88"/>
      <c r="V26" s="88"/>
      <c r="W26" s="99"/>
      <c r="X26" s="99"/>
      <c r="Y26" s="99"/>
      <c r="AF26" s="134"/>
      <c r="AG26" s="85"/>
      <c r="AH26" s="99"/>
    </row>
    <row r="27" spans="2:34" ht="15.75" x14ac:dyDescent="0.25">
      <c r="C27" s="166" t="s">
        <v>217</v>
      </c>
      <c r="D27" s="165" t="s">
        <v>216</v>
      </c>
      <c r="E27" s="164" t="s">
        <v>216</v>
      </c>
      <c r="F27" s="164" t="s">
        <v>216</v>
      </c>
      <c r="G27" s="411" t="s">
        <v>215</v>
      </c>
      <c r="H27" s="412"/>
      <c r="I27" s="413"/>
      <c r="J27" s="135"/>
      <c r="K27" s="99"/>
      <c r="L27" s="99"/>
      <c r="M27" s="99"/>
      <c r="N27" s="99"/>
      <c r="O27" s="99"/>
      <c r="P27" s="99"/>
      <c r="Q27" s="99"/>
      <c r="T27" s="86"/>
      <c r="U27" s="88"/>
      <c r="V27" s="88"/>
      <c r="W27" s="99"/>
      <c r="X27" s="99"/>
      <c r="Y27" s="99"/>
      <c r="AF27" s="134"/>
      <c r="AG27" s="85"/>
      <c r="AH27" s="99"/>
    </row>
    <row r="28" spans="2:34" ht="15.75" x14ac:dyDescent="0.25">
      <c r="C28" s="149" t="s">
        <v>214</v>
      </c>
      <c r="D28" s="163" t="s">
        <v>209</v>
      </c>
      <c r="E28" s="148">
        <v>1</v>
      </c>
      <c r="F28" s="147">
        <v>250</v>
      </c>
      <c r="G28" s="143">
        <f t="shared" ref="G28:G36" si="8">E28*F28</f>
        <v>250</v>
      </c>
      <c r="H28" s="146">
        <f>G18/G28</f>
        <v>0</v>
      </c>
      <c r="I28" s="142">
        <f t="shared" ref="I28:I36" si="9">H28*F28</f>
        <v>0</v>
      </c>
      <c r="J28" s="135"/>
      <c r="K28" s="99"/>
      <c r="L28" s="99"/>
      <c r="M28" s="99"/>
      <c r="N28" s="99"/>
      <c r="O28" s="99"/>
      <c r="P28" s="99"/>
      <c r="Q28" s="99"/>
      <c r="T28" s="86"/>
      <c r="U28" s="88"/>
      <c r="V28" s="88"/>
      <c r="W28" s="99"/>
      <c r="X28" s="99"/>
      <c r="Y28" s="99"/>
      <c r="AF28" s="134"/>
      <c r="AG28" s="85"/>
      <c r="AH28" s="99"/>
    </row>
    <row r="29" spans="2:34" ht="15.75" x14ac:dyDescent="0.25">
      <c r="C29" s="149" t="s">
        <v>213</v>
      </c>
      <c r="D29" s="106" t="s">
        <v>212</v>
      </c>
      <c r="E29" s="148">
        <v>1</v>
      </c>
      <c r="F29" s="147">
        <v>250</v>
      </c>
      <c r="G29" s="143">
        <f t="shared" si="8"/>
        <v>250</v>
      </c>
      <c r="H29" s="146">
        <f>G19/G29</f>
        <v>0</v>
      </c>
      <c r="I29" s="142">
        <f t="shared" si="9"/>
        <v>0</v>
      </c>
      <c r="J29" s="135"/>
      <c r="K29" s="99"/>
      <c r="L29" s="99"/>
      <c r="M29" s="99"/>
      <c r="N29" s="99"/>
      <c r="O29" s="99"/>
      <c r="P29" s="99"/>
      <c r="Q29" s="99"/>
      <c r="T29" s="86"/>
      <c r="U29" s="88"/>
      <c r="V29" s="88"/>
      <c r="W29" s="99"/>
      <c r="X29" s="99"/>
      <c r="Y29" s="99"/>
      <c r="AF29" s="134"/>
      <c r="AG29" s="85"/>
      <c r="AH29" s="99"/>
    </row>
    <row r="30" spans="2:34" ht="15.75" x14ac:dyDescent="0.25">
      <c r="C30" s="149" t="s">
        <v>211</v>
      </c>
      <c r="D30" s="106" t="s">
        <v>207</v>
      </c>
      <c r="E30" s="148">
        <v>1</v>
      </c>
      <c r="F30" s="147">
        <v>34</v>
      </c>
      <c r="G30" s="143">
        <f t="shared" si="8"/>
        <v>34</v>
      </c>
      <c r="H30" s="146">
        <f>G21/G30</f>
        <v>0</v>
      </c>
      <c r="I30" s="142">
        <f t="shared" si="9"/>
        <v>0</v>
      </c>
      <c r="J30" s="135"/>
      <c r="K30" s="99"/>
      <c r="L30" s="99"/>
      <c r="M30" s="99"/>
      <c r="N30" s="99"/>
      <c r="O30" s="99"/>
      <c r="P30" s="99"/>
      <c r="Q30" s="99"/>
      <c r="T30" s="86"/>
      <c r="U30" s="88"/>
      <c r="V30" s="88"/>
      <c r="W30" s="99"/>
      <c r="X30" s="99"/>
      <c r="Y30" s="99"/>
      <c r="AF30" s="134"/>
      <c r="AG30" s="85"/>
      <c r="AH30" s="99"/>
    </row>
    <row r="31" spans="2:34" ht="15.75" x14ac:dyDescent="0.25">
      <c r="C31" s="162" t="s">
        <v>210</v>
      </c>
      <c r="D31" s="98" t="s">
        <v>209</v>
      </c>
      <c r="E31" s="161">
        <v>1</v>
      </c>
      <c r="F31" s="160">
        <v>250</v>
      </c>
      <c r="G31" s="159">
        <f t="shared" si="8"/>
        <v>250</v>
      </c>
      <c r="H31" s="158">
        <f>G18/G31</f>
        <v>0</v>
      </c>
      <c r="I31" s="157">
        <f t="shared" si="9"/>
        <v>0</v>
      </c>
      <c r="J31" s="135"/>
      <c r="K31" s="99"/>
      <c r="L31" s="99"/>
      <c r="M31" s="99"/>
      <c r="N31" s="99"/>
      <c r="O31" s="99"/>
      <c r="P31" s="99"/>
      <c r="Q31" s="99"/>
      <c r="T31" s="86"/>
      <c r="U31" s="88"/>
      <c r="V31" s="88"/>
      <c r="W31" s="99"/>
      <c r="X31" s="99"/>
      <c r="Y31" s="99"/>
      <c r="AF31" s="134"/>
      <c r="AG31" s="85"/>
      <c r="AH31" s="99"/>
    </row>
    <row r="32" spans="2:34" ht="15.75" x14ac:dyDescent="0.25">
      <c r="C32" s="156" t="s">
        <v>208</v>
      </c>
      <c r="D32" s="155" t="s">
        <v>207</v>
      </c>
      <c r="E32" s="154">
        <v>1</v>
      </c>
      <c r="F32" s="153">
        <v>75</v>
      </c>
      <c r="G32" s="152">
        <f t="shared" si="8"/>
        <v>75</v>
      </c>
      <c r="H32" s="151">
        <f>G21/G32</f>
        <v>0</v>
      </c>
      <c r="I32" s="150">
        <f t="shared" si="9"/>
        <v>0</v>
      </c>
      <c r="J32" s="135"/>
      <c r="K32" s="99"/>
      <c r="L32" s="99"/>
      <c r="M32" s="99"/>
      <c r="N32" s="99"/>
      <c r="O32" s="99"/>
      <c r="P32" s="99"/>
      <c r="Q32" s="99"/>
      <c r="T32" s="86"/>
      <c r="U32" s="88"/>
      <c r="V32" s="88"/>
      <c r="W32" s="99"/>
      <c r="X32" s="99"/>
      <c r="Y32" s="99"/>
      <c r="AF32" s="134"/>
      <c r="AG32" s="85"/>
      <c r="AH32" s="99"/>
    </row>
    <row r="33" spans="2:34" ht="15.75" x14ac:dyDescent="0.25">
      <c r="C33" s="149" t="s">
        <v>206</v>
      </c>
      <c r="D33" s="106" t="s">
        <v>205</v>
      </c>
      <c r="E33" s="148">
        <v>1</v>
      </c>
      <c r="F33" s="147">
        <v>68</v>
      </c>
      <c r="G33" s="143">
        <f t="shared" si="8"/>
        <v>68</v>
      </c>
      <c r="H33" s="146">
        <f>G14/G33</f>
        <v>0</v>
      </c>
      <c r="I33" s="142">
        <f t="shared" si="9"/>
        <v>0</v>
      </c>
      <c r="J33" s="135"/>
      <c r="K33" s="99"/>
      <c r="L33" s="99"/>
      <c r="M33" s="99"/>
      <c r="N33" s="99"/>
      <c r="O33" s="99"/>
      <c r="P33" s="99"/>
      <c r="Q33" s="99"/>
      <c r="T33" s="86"/>
      <c r="U33" s="88"/>
      <c r="V33" s="88"/>
      <c r="W33" s="99"/>
      <c r="X33" s="99"/>
      <c r="Y33" s="99"/>
      <c r="AF33" s="134"/>
      <c r="AG33" s="85"/>
      <c r="AH33" s="99"/>
    </row>
    <row r="34" spans="2:34" ht="15.75" x14ac:dyDescent="0.25">
      <c r="C34" s="145" t="s">
        <v>182</v>
      </c>
      <c r="D34" s="144"/>
      <c r="E34" s="144">
        <v>0</v>
      </c>
      <c r="F34" s="144">
        <v>0</v>
      </c>
      <c r="G34" s="143">
        <f t="shared" si="8"/>
        <v>0</v>
      </c>
      <c r="H34" s="116">
        <v>0</v>
      </c>
      <c r="I34" s="142">
        <f t="shared" si="9"/>
        <v>0</v>
      </c>
      <c r="J34" s="135"/>
      <c r="K34" s="99"/>
      <c r="L34" s="99"/>
      <c r="M34" s="99"/>
      <c r="N34" s="99"/>
      <c r="O34" s="99"/>
      <c r="P34" s="99"/>
      <c r="Q34" s="99"/>
      <c r="W34" s="99"/>
      <c r="X34" s="99"/>
      <c r="Y34" s="99"/>
      <c r="AF34" s="134"/>
      <c r="AG34" s="85"/>
      <c r="AH34" s="99"/>
    </row>
    <row r="35" spans="2:34" ht="15.75" x14ac:dyDescent="0.25">
      <c r="C35" s="145" t="s">
        <v>182</v>
      </c>
      <c r="D35" s="144"/>
      <c r="E35" s="144">
        <v>0</v>
      </c>
      <c r="F35" s="144">
        <v>0</v>
      </c>
      <c r="G35" s="143">
        <f t="shared" si="8"/>
        <v>0</v>
      </c>
      <c r="H35" s="116">
        <v>0</v>
      </c>
      <c r="I35" s="142">
        <f t="shared" si="9"/>
        <v>0</v>
      </c>
      <c r="J35" s="135"/>
      <c r="K35" s="99"/>
      <c r="L35" s="99"/>
      <c r="M35" s="99"/>
      <c r="N35" s="99"/>
      <c r="O35" s="99"/>
      <c r="P35" s="99"/>
      <c r="Q35" s="99"/>
      <c r="W35" s="99"/>
      <c r="X35" s="99"/>
      <c r="Y35" s="99"/>
      <c r="AF35" s="134"/>
      <c r="AG35" s="85"/>
      <c r="AH35" s="99"/>
    </row>
    <row r="36" spans="2:34" ht="16.5" thickBot="1" x14ac:dyDescent="0.3">
      <c r="C36" s="141" t="s">
        <v>182</v>
      </c>
      <c r="D36" s="140"/>
      <c r="E36" s="140">
        <v>0</v>
      </c>
      <c r="F36" s="140">
        <v>0</v>
      </c>
      <c r="G36" s="139">
        <f t="shared" si="8"/>
        <v>0</v>
      </c>
      <c r="H36" s="138">
        <v>0</v>
      </c>
      <c r="I36" s="137">
        <f t="shared" si="9"/>
        <v>0</v>
      </c>
      <c r="J36" s="135"/>
      <c r="K36" s="99"/>
      <c r="L36" s="99"/>
      <c r="M36" s="99"/>
      <c r="N36" s="99"/>
      <c r="O36" s="99"/>
      <c r="P36" s="99"/>
      <c r="Q36" s="99"/>
      <c r="W36" s="99"/>
      <c r="X36" s="99"/>
      <c r="Y36" s="99"/>
      <c r="AF36" s="134"/>
      <c r="AG36" s="85"/>
      <c r="AH36" s="99"/>
    </row>
    <row r="37" spans="2:34" ht="20.25" customHeight="1" thickBot="1" x14ac:dyDescent="0.3">
      <c r="C37" s="405" t="s">
        <v>204</v>
      </c>
      <c r="D37" s="406"/>
      <c r="E37" s="406"/>
      <c r="F37" s="406"/>
      <c r="G37" s="406"/>
      <c r="H37" s="406"/>
      <c r="I37" s="407"/>
      <c r="J37" s="135"/>
      <c r="K37" s="99"/>
      <c r="L37" s="99"/>
      <c r="M37" s="99"/>
      <c r="N37" s="99"/>
      <c r="O37" s="99"/>
      <c r="P37" s="99"/>
      <c r="Q37" s="99"/>
      <c r="W37" s="99"/>
      <c r="X37" s="99"/>
      <c r="Y37" s="99"/>
      <c r="AF37" s="134"/>
      <c r="AG37" s="85"/>
      <c r="AH37" s="99"/>
    </row>
    <row r="38" spans="2:34" ht="20.25" customHeight="1" x14ac:dyDescent="0.25">
      <c r="C38" s="136"/>
      <c r="D38" s="136"/>
      <c r="E38" s="136"/>
      <c r="F38" s="136"/>
      <c r="G38" s="136"/>
      <c r="H38" s="136"/>
      <c r="I38" s="136"/>
      <c r="J38" s="135"/>
      <c r="K38" s="99"/>
      <c r="L38" s="99"/>
      <c r="M38" s="99"/>
      <c r="N38" s="99"/>
      <c r="O38" s="99"/>
      <c r="P38" s="99"/>
      <c r="Q38" s="99"/>
      <c r="W38" s="99"/>
      <c r="X38" s="99"/>
      <c r="Y38" s="99"/>
      <c r="AF38" s="134"/>
      <c r="AG38" s="85"/>
      <c r="AH38" s="99"/>
    </row>
    <row r="39" spans="2:34" ht="20.25" customHeight="1" x14ac:dyDescent="0.25">
      <c r="C39" s="136"/>
      <c r="D39" s="136"/>
      <c r="E39" s="136"/>
      <c r="F39" s="136"/>
      <c r="G39" s="136"/>
      <c r="H39" s="136"/>
      <c r="I39" s="136"/>
      <c r="J39" s="135"/>
      <c r="K39" s="99"/>
      <c r="L39" s="99"/>
      <c r="M39" s="99"/>
      <c r="N39" s="99"/>
      <c r="O39" s="99"/>
      <c r="P39" s="99"/>
      <c r="Q39" s="99"/>
      <c r="W39" s="99"/>
      <c r="X39" s="99"/>
      <c r="Y39" s="99"/>
      <c r="AF39" s="134"/>
      <c r="AG39" s="85"/>
      <c r="AH39" s="99"/>
    </row>
    <row r="40" spans="2:34" ht="20.25" customHeight="1" x14ac:dyDescent="0.25">
      <c r="C40" s="136"/>
      <c r="D40" s="136"/>
      <c r="E40" s="136"/>
      <c r="F40" s="136"/>
      <c r="G40" s="136"/>
      <c r="H40" s="136"/>
      <c r="I40" s="136"/>
      <c r="J40" s="135"/>
      <c r="K40" s="99"/>
      <c r="L40" s="99"/>
      <c r="M40" s="99"/>
      <c r="N40" s="99"/>
      <c r="O40" s="99"/>
      <c r="P40" s="99"/>
      <c r="Q40" s="99"/>
      <c r="W40" s="99"/>
      <c r="X40" s="99"/>
      <c r="Y40" s="99"/>
      <c r="AF40" s="134"/>
      <c r="AG40" s="85"/>
      <c r="AH40" s="99"/>
    </row>
    <row r="41" spans="2:34" ht="20.25" customHeight="1" x14ac:dyDescent="0.25">
      <c r="C41" s="136"/>
      <c r="D41" s="136"/>
      <c r="E41" s="136"/>
      <c r="F41" s="136"/>
      <c r="G41" s="136"/>
      <c r="H41" s="136"/>
      <c r="I41" s="136"/>
      <c r="J41" s="135"/>
      <c r="K41" s="99"/>
      <c r="L41" s="99"/>
      <c r="M41" s="99"/>
      <c r="N41" s="99"/>
      <c r="O41" s="99"/>
      <c r="P41" s="99"/>
      <c r="Q41" s="99"/>
      <c r="W41" s="99"/>
      <c r="X41" s="99"/>
      <c r="Y41" s="99"/>
      <c r="AF41" s="134"/>
      <c r="AG41" s="85"/>
      <c r="AH41" s="99"/>
    </row>
    <row r="42" spans="2:34" ht="15" customHeight="1" thickBot="1" x14ac:dyDescent="0.3">
      <c r="E42" s="2"/>
      <c r="F42" s="2"/>
      <c r="G42" s="2"/>
      <c r="H42" s="2"/>
      <c r="I42" s="2"/>
      <c r="J42" s="2"/>
    </row>
    <row r="43" spans="2:34" ht="53.25" customHeight="1" thickBot="1" x14ac:dyDescent="0.35">
      <c r="B43" s="133" t="s">
        <v>203</v>
      </c>
      <c r="C43" s="132" t="s">
        <v>202</v>
      </c>
      <c r="D43" s="131" t="s">
        <v>201</v>
      </c>
      <c r="E43" s="131" t="s">
        <v>200</v>
      </c>
      <c r="F43" s="131" t="s">
        <v>199</v>
      </c>
      <c r="G43" s="130" t="s">
        <v>198</v>
      </c>
      <c r="H43" s="129" t="s">
        <v>197</v>
      </c>
      <c r="I43" s="128" t="s">
        <v>196</v>
      </c>
      <c r="J43" s="127"/>
      <c r="K43" s="126" t="s">
        <v>195</v>
      </c>
      <c r="L43" s="125" t="s">
        <v>194</v>
      </c>
      <c r="M43" s="124" t="s">
        <v>193</v>
      </c>
      <c r="O43" s="123"/>
      <c r="P43" s="123"/>
      <c r="Q43" s="123"/>
      <c r="R43" s="123"/>
      <c r="S43" s="123"/>
      <c r="T43" s="123"/>
      <c r="U43" s="123"/>
      <c r="V43" s="123"/>
      <c r="W43" s="123"/>
      <c r="X43" s="123"/>
      <c r="Y43" s="123"/>
    </row>
    <row r="44" spans="2:34" ht="15.75" customHeight="1" x14ac:dyDescent="0.25">
      <c r="B44" s="106">
        <v>0</v>
      </c>
      <c r="C44" s="121" t="s">
        <v>192</v>
      </c>
      <c r="D44" s="118"/>
      <c r="E44" s="118"/>
      <c r="F44" s="118"/>
      <c r="G44" s="120"/>
      <c r="H44" s="119"/>
      <c r="I44" s="118"/>
      <c r="K44" s="115"/>
      <c r="L44" s="117"/>
      <c r="M44" s="122"/>
    </row>
    <row r="45" spans="2:34" x14ac:dyDescent="0.25">
      <c r="B45" s="106">
        <v>1</v>
      </c>
      <c r="C45" s="121" t="s">
        <v>191</v>
      </c>
      <c r="D45" s="118">
        <v>0.36</v>
      </c>
      <c r="E45" s="118">
        <v>7.0000000000000007E-2</v>
      </c>
      <c r="F45" s="118">
        <v>7.0000000000000007E-2</v>
      </c>
      <c r="G45" s="120">
        <f t="shared" ref="G45:G52" si="10">SUM(D45:F45)</f>
        <v>0.5</v>
      </c>
      <c r="H45" s="119">
        <v>0.1</v>
      </c>
      <c r="I45" s="118">
        <f t="shared" ref="I45:I52" si="11">1-G45-H45</f>
        <v>0.4</v>
      </c>
      <c r="K45" s="115">
        <f t="shared" ref="K45:K54" si="12">G45/MAX($G$44:$G$54)</f>
        <v>0.83333333333333337</v>
      </c>
      <c r="L45" s="117">
        <v>3.1</v>
      </c>
      <c r="M45" s="108">
        <v>0.5</v>
      </c>
      <c r="T45" s="85"/>
      <c r="X45" s="99"/>
    </row>
    <row r="46" spans="2:34" ht="14.25" customHeight="1" x14ac:dyDescent="0.25">
      <c r="B46" s="106">
        <v>2</v>
      </c>
      <c r="C46" s="114" t="s">
        <v>190</v>
      </c>
      <c r="D46" s="111">
        <v>0.39</v>
      </c>
      <c r="E46" s="111">
        <v>0.11</v>
      </c>
      <c r="F46" s="111">
        <v>0.02</v>
      </c>
      <c r="G46" s="113">
        <f t="shared" si="10"/>
        <v>0.52</v>
      </c>
      <c r="H46" s="112">
        <v>8.5000000000000006E-2</v>
      </c>
      <c r="I46" s="111">
        <f t="shared" si="11"/>
        <v>0.39499999999999996</v>
      </c>
      <c r="K46" s="115">
        <f t="shared" si="12"/>
        <v>0.8666666666666667</v>
      </c>
      <c r="L46" s="116">
        <v>2.8</v>
      </c>
      <c r="M46" s="108">
        <v>0.5</v>
      </c>
      <c r="T46" s="107"/>
      <c r="X46" s="99"/>
    </row>
    <row r="47" spans="2:34" ht="14.25" customHeight="1" x14ac:dyDescent="0.25">
      <c r="B47" s="106">
        <v>3</v>
      </c>
      <c r="C47" s="114" t="s">
        <v>189</v>
      </c>
      <c r="D47" s="111">
        <v>0.48</v>
      </c>
      <c r="E47" s="111">
        <v>0.06</v>
      </c>
      <c r="F47" s="111">
        <v>2.5000000000000001E-2</v>
      </c>
      <c r="G47" s="113">
        <f t="shared" si="10"/>
        <v>0.56500000000000006</v>
      </c>
      <c r="H47" s="112">
        <v>0.05</v>
      </c>
      <c r="I47" s="111">
        <f t="shared" si="11"/>
        <v>0.38499999999999995</v>
      </c>
      <c r="K47" s="115">
        <f t="shared" si="12"/>
        <v>0.94166666666666676</v>
      </c>
      <c r="L47" s="109" t="s">
        <v>183</v>
      </c>
      <c r="M47" s="108"/>
      <c r="T47" s="85"/>
      <c r="X47" s="99"/>
    </row>
    <row r="48" spans="2:34" ht="14.25" customHeight="1" x14ac:dyDescent="0.25">
      <c r="B48" s="106">
        <v>4</v>
      </c>
      <c r="C48" s="114" t="s">
        <v>188</v>
      </c>
      <c r="D48" s="111">
        <v>7.5999999999999998E-2</v>
      </c>
      <c r="E48" s="111">
        <v>1.6E-2</v>
      </c>
      <c r="F48" s="111">
        <v>1.4E-2</v>
      </c>
      <c r="G48" s="113">
        <f t="shared" si="10"/>
        <v>0.106</v>
      </c>
      <c r="H48" s="112">
        <v>0.85199999999999998</v>
      </c>
      <c r="I48" s="111">
        <f t="shared" si="11"/>
        <v>4.2000000000000037E-2</v>
      </c>
      <c r="K48" s="115">
        <f t="shared" si="12"/>
        <v>0.17666666666666667</v>
      </c>
      <c r="L48" s="109" t="s">
        <v>183</v>
      </c>
      <c r="M48" s="108"/>
      <c r="T48" s="85"/>
      <c r="X48" s="107"/>
    </row>
    <row r="49" spans="2:25" ht="14.25" customHeight="1" x14ac:dyDescent="0.25">
      <c r="B49" s="106">
        <v>5</v>
      </c>
      <c r="C49" s="114" t="s">
        <v>187</v>
      </c>
      <c r="D49" s="111">
        <v>0.12</v>
      </c>
      <c r="E49" s="111">
        <v>0.04</v>
      </c>
      <c r="F49" s="111">
        <v>1.4999999999999999E-2</v>
      </c>
      <c r="G49" s="113">
        <f t="shared" si="10"/>
        <v>0.17499999999999999</v>
      </c>
      <c r="H49" s="112">
        <v>0.77</v>
      </c>
      <c r="I49" s="111">
        <f t="shared" si="11"/>
        <v>5.4999999999999938E-2</v>
      </c>
      <c r="K49" s="115">
        <f t="shared" si="12"/>
        <v>0.29166666666666669</v>
      </c>
      <c r="L49" s="109" t="s">
        <v>183</v>
      </c>
      <c r="M49" s="108"/>
    </row>
    <row r="50" spans="2:25" x14ac:dyDescent="0.25">
      <c r="B50" s="106">
        <v>6</v>
      </c>
      <c r="C50" s="114" t="s">
        <v>186</v>
      </c>
      <c r="D50" s="111">
        <v>0.42</v>
      </c>
      <c r="E50" s="111">
        <v>0.12</v>
      </c>
      <c r="F50" s="111">
        <v>0.02</v>
      </c>
      <c r="G50" s="113">
        <f t="shared" si="10"/>
        <v>0.56000000000000005</v>
      </c>
      <c r="H50" s="112">
        <v>8.5000000000000006E-2</v>
      </c>
      <c r="I50" s="111">
        <f t="shared" si="11"/>
        <v>0.35499999999999993</v>
      </c>
      <c r="K50" s="115">
        <f t="shared" si="12"/>
        <v>0.93333333333333346</v>
      </c>
      <c r="L50" s="116">
        <v>0.8</v>
      </c>
      <c r="M50" s="108">
        <v>0.5</v>
      </c>
      <c r="T50" s="85"/>
      <c r="X50" s="99"/>
    </row>
    <row r="51" spans="2:25" ht="15.75" customHeight="1" x14ac:dyDescent="0.25">
      <c r="B51" s="106">
        <v>7</v>
      </c>
      <c r="C51" s="114" t="s">
        <v>185</v>
      </c>
      <c r="D51" s="111">
        <v>0.47</v>
      </c>
      <c r="E51" s="111">
        <v>0.05</v>
      </c>
      <c r="F51" s="111">
        <v>0.03</v>
      </c>
      <c r="G51" s="113">
        <f t="shared" si="10"/>
        <v>0.55000000000000004</v>
      </c>
      <c r="H51" s="112">
        <v>0.1</v>
      </c>
      <c r="I51" s="111">
        <f t="shared" si="11"/>
        <v>0.35</v>
      </c>
      <c r="K51" s="115">
        <f t="shared" si="12"/>
        <v>0.91666666666666674</v>
      </c>
      <c r="L51" s="109" t="s">
        <v>183</v>
      </c>
      <c r="M51" s="108"/>
      <c r="T51" s="85"/>
      <c r="X51" s="99"/>
    </row>
    <row r="52" spans="2:25" ht="15.75" customHeight="1" x14ac:dyDescent="0.25">
      <c r="B52" s="106">
        <v>8</v>
      </c>
      <c r="C52" s="114" t="s">
        <v>184</v>
      </c>
      <c r="D52" s="111">
        <v>0.48</v>
      </c>
      <c r="E52" s="111">
        <v>0.08</v>
      </c>
      <c r="F52" s="111">
        <v>0.04</v>
      </c>
      <c r="G52" s="113">
        <f t="shared" si="10"/>
        <v>0.6</v>
      </c>
      <c r="H52" s="112">
        <v>0.1</v>
      </c>
      <c r="I52" s="111">
        <f t="shared" si="11"/>
        <v>0.30000000000000004</v>
      </c>
      <c r="K52" s="110">
        <f t="shared" si="12"/>
        <v>1</v>
      </c>
      <c r="L52" s="109" t="s">
        <v>183</v>
      </c>
      <c r="M52" s="108"/>
      <c r="T52" s="107"/>
      <c r="X52" s="107"/>
    </row>
    <row r="53" spans="2:25" ht="15.75" customHeight="1" x14ac:dyDescent="0.25">
      <c r="B53" s="106">
        <v>9</v>
      </c>
      <c r="C53" s="97" t="s">
        <v>182</v>
      </c>
      <c r="D53" s="103"/>
      <c r="E53" s="103"/>
      <c r="F53" s="103"/>
      <c r="G53" s="105"/>
      <c r="H53" s="104"/>
      <c r="I53" s="103"/>
      <c r="K53" s="102">
        <f t="shared" si="12"/>
        <v>0</v>
      </c>
      <c r="L53" s="101"/>
      <c r="M53" s="100"/>
      <c r="O53" s="89"/>
      <c r="T53" s="85"/>
      <c r="X53" s="99"/>
    </row>
    <row r="54" spans="2:25" ht="15.75" customHeight="1" thickBot="1" x14ac:dyDescent="0.3">
      <c r="B54" s="98">
        <v>10</v>
      </c>
      <c r="C54" s="97" t="s">
        <v>182</v>
      </c>
      <c r="D54" s="94"/>
      <c r="E54" s="94"/>
      <c r="F54" s="94"/>
      <c r="G54" s="96"/>
      <c r="H54" s="95"/>
      <c r="I54" s="94"/>
      <c r="K54" s="93">
        <f t="shared" si="12"/>
        <v>0</v>
      </c>
      <c r="L54" s="92"/>
      <c r="M54" s="91"/>
      <c r="O54" s="89"/>
    </row>
    <row r="55" spans="2:25" ht="15.75" customHeight="1" thickBot="1" x14ac:dyDescent="0.3">
      <c r="B55" s="392" t="s">
        <v>181</v>
      </c>
      <c r="C55" s="393"/>
      <c r="D55" s="393"/>
      <c r="E55" s="393"/>
      <c r="F55" s="393"/>
      <c r="G55" s="393"/>
      <c r="H55" s="393"/>
      <c r="I55" s="393"/>
      <c r="J55" s="393"/>
      <c r="K55" s="393"/>
      <c r="L55" s="393"/>
      <c r="M55" s="394"/>
      <c r="N55" s="90"/>
      <c r="O55" s="89"/>
      <c r="P55" s="8"/>
      <c r="Q55" s="8"/>
      <c r="R55" s="8"/>
      <c r="S55" s="8"/>
      <c r="T55" s="8"/>
      <c r="U55" s="8"/>
      <c r="V55" s="8"/>
      <c r="W55" s="8"/>
      <c r="X55" s="8"/>
      <c r="Y55" s="8"/>
    </row>
    <row r="56" spans="2:25" x14ac:dyDescent="0.25">
      <c r="I56" s="89"/>
      <c r="J56" s="88"/>
      <c r="L56" s="88"/>
      <c r="M56" s="88"/>
      <c r="N56" s="88"/>
      <c r="O56" s="88"/>
      <c r="P56" s="88"/>
      <c r="Q56" s="88"/>
    </row>
    <row r="57" spans="2:25" x14ac:dyDescent="0.25">
      <c r="I57" s="89"/>
      <c r="J57" s="88"/>
      <c r="L57" s="88"/>
      <c r="M57" s="88"/>
      <c r="N57" s="88"/>
      <c r="O57" s="88"/>
      <c r="P57" s="88"/>
      <c r="Q57" s="88"/>
    </row>
    <row r="58" spans="2:25" x14ac:dyDescent="0.25">
      <c r="I58" s="88"/>
    </row>
    <row r="59" spans="2:25" x14ac:dyDescent="0.25">
      <c r="I59" s="88"/>
    </row>
    <row r="60" spans="2:25" x14ac:dyDescent="0.25">
      <c r="I60" s="88"/>
    </row>
    <row r="61" spans="2:25" x14ac:dyDescent="0.25">
      <c r="I61" s="88"/>
    </row>
    <row r="62" spans="2:25" x14ac:dyDescent="0.25">
      <c r="I62" s="88"/>
    </row>
    <row r="63" spans="2:25" x14ac:dyDescent="0.25">
      <c r="I63" s="88"/>
    </row>
    <row r="64" spans="2:25" x14ac:dyDescent="0.25">
      <c r="I64" s="88"/>
    </row>
    <row r="65" spans="3:9" x14ac:dyDescent="0.25">
      <c r="I65" s="88"/>
    </row>
    <row r="66" spans="3:9" x14ac:dyDescent="0.25">
      <c r="I66" s="88"/>
    </row>
    <row r="67" spans="3:9" x14ac:dyDescent="0.25">
      <c r="I67" s="88"/>
    </row>
    <row r="68" spans="3:9" x14ac:dyDescent="0.25">
      <c r="I68" s="88"/>
    </row>
    <row r="69" spans="3:9" x14ac:dyDescent="0.25">
      <c r="I69" s="88"/>
    </row>
    <row r="70" spans="3:9" x14ac:dyDescent="0.25">
      <c r="I70" s="88"/>
    </row>
    <row r="71" spans="3:9" x14ac:dyDescent="0.25">
      <c r="I71" s="88"/>
    </row>
    <row r="72" spans="3:9" x14ac:dyDescent="0.25">
      <c r="I72" s="88"/>
    </row>
    <row r="73" spans="3:9" x14ac:dyDescent="0.25">
      <c r="I73" s="88"/>
    </row>
    <row r="74" spans="3:9" x14ac:dyDescent="0.25">
      <c r="I74" s="88"/>
    </row>
    <row r="75" spans="3:9" x14ac:dyDescent="0.25">
      <c r="C75" s="87" t="s">
        <v>128</v>
      </c>
      <c r="D75" s="87"/>
    </row>
    <row r="111" spans="11:17" x14ac:dyDescent="0.25">
      <c r="K111" s="86"/>
      <c r="L111" s="86"/>
      <c r="M111" s="86"/>
      <c r="N111" s="86"/>
      <c r="O111" s="86"/>
      <c r="P111" s="86"/>
      <c r="Q111" s="86"/>
    </row>
    <row r="114" spans="11:17" x14ac:dyDescent="0.25">
      <c r="K114" s="85"/>
      <c r="L114" s="85"/>
      <c r="M114" s="85"/>
      <c r="N114" s="85"/>
      <c r="O114" s="85"/>
      <c r="P114" s="85"/>
      <c r="Q114" s="85"/>
    </row>
    <row r="115" spans="11:17" x14ac:dyDescent="0.25">
      <c r="K115" s="85"/>
      <c r="L115" s="85"/>
      <c r="M115" s="85"/>
      <c r="N115" s="85"/>
      <c r="O115" s="85"/>
      <c r="P115" s="85"/>
      <c r="Q115" s="85"/>
    </row>
    <row r="116" spans="11:17" x14ac:dyDescent="0.25">
      <c r="K116" s="84"/>
      <c r="L116" s="84"/>
      <c r="M116" s="84"/>
      <c r="N116" s="84"/>
      <c r="O116" s="84"/>
      <c r="P116" s="84"/>
      <c r="Q116" s="84"/>
    </row>
    <row r="117" spans="11:17" x14ac:dyDescent="0.25">
      <c r="K117" s="84"/>
      <c r="L117" s="84"/>
      <c r="M117" s="84"/>
      <c r="N117" s="84"/>
      <c r="O117" s="84"/>
      <c r="P117" s="84"/>
      <c r="Q117" s="84"/>
    </row>
  </sheetData>
  <sheetProtection algorithmName="SHA-512" hashValue="Y9kUtWh5T3RIHezLFf3Ba4uS8h85wXKpzkvn3HowM9gez2z+f5CfsKurE3l3ZmUfCoqSP/j7fRiGBVgfkBKCBQ==" saltValue="K+TThzpSFxecFTAX79CfuA==" spinCount="100000" sheet="1" objects="1" scenarios="1"/>
  <mergeCells count="20">
    <mergeCell ref="F5:G5"/>
    <mergeCell ref="F3:G3"/>
    <mergeCell ref="F4:G4"/>
    <mergeCell ref="H10:H12"/>
    <mergeCell ref="K9:Q9"/>
    <mergeCell ref="AF4:AH4"/>
    <mergeCell ref="AF7:AH7"/>
    <mergeCell ref="R3:R7"/>
    <mergeCell ref="N10:N12"/>
    <mergeCell ref="O10:O12"/>
    <mergeCell ref="P10:P12"/>
    <mergeCell ref="Q10:Q12"/>
    <mergeCell ref="R10:R12"/>
    <mergeCell ref="B55:M55"/>
    <mergeCell ref="K7:Q7"/>
    <mergeCell ref="K8:Q8"/>
    <mergeCell ref="F6:G7"/>
    <mergeCell ref="C37:I37"/>
    <mergeCell ref="G26:I26"/>
    <mergeCell ref="G27:I27"/>
  </mergeCells>
  <dataValidations disablePrompts="1" count="3">
    <dataValidation type="list" allowBlank="1" showInputMessage="1" showErrorMessage="1" sqref="F14:F22" xr:uid="{00000000-0002-0000-0000-000002000000}">
      <formula1>"Y,N"</formula1>
    </dataValidation>
    <dataValidation type="list" allowBlank="1" showInputMessage="1" showErrorMessage="1" prompt="Choose Food from Dropdown List_x000a_" sqref="F9" xr:uid="{00000000-0002-0000-0000-000001000000}">
      <formula1>$C$44:$C$54</formula1>
    </dataValidation>
    <dataValidation type="whole" allowBlank="1" showInputMessage="1" showErrorMessage="1" error="Enter 1 or 2 only" prompt="Enter 1 or 2 - see description to right of cell_x000a_" sqref="E8" xr:uid="{00000000-0002-0000-0000-000000000000}">
      <formula1>1</formula1>
      <formula2>2</formula2>
    </dataValidation>
  </dataValidations>
  <hyperlinks>
    <hyperlink ref="E2" location="Overview!A1" display="Return to Overview" xr:uid="{F9704CC4-AC96-4DDC-A669-8DC5E7820F6E}"/>
  </hyperlinks>
  <pageMargins left="0.45" right="0.45" top="0.25" bottom="0.5" header="0.05" footer="0.3"/>
  <pageSetup scale="43" orientation="landscape" r:id="rId1"/>
  <headerFooter>
    <oddFooter>&amp;LMarine Fish Medicated Food Dosage Calculator
&amp;R2/20/2021</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F2468-615B-4049-8FEB-108E2FBE3BE4}">
  <dimension ref="A1:R38"/>
  <sheetViews>
    <sheetView workbookViewId="0">
      <selection activeCell="A2" sqref="A2"/>
    </sheetView>
  </sheetViews>
  <sheetFormatPr defaultRowHeight="15" x14ac:dyDescent="0.25"/>
  <sheetData>
    <row r="1" spans="1:18" x14ac:dyDescent="0.25">
      <c r="A1" t="s">
        <v>357</v>
      </c>
    </row>
    <row r="2" spans="1:18" ht="15.75" thickBot="1" x14ac:dyDescent="0.3">
      <c r="C2" s="353" t="s">
        <v>342</v>
      </c>
      <c r="D2" s="353" t="s">
        <v>343</v>
      </c>
      <c r="E2" s="353" t="s">
        <v>344</v>
      </c>
      <c r="F2" s="353" t="s">
        <v>345</v>
      </c>
      <c r="G2" s="354" t="s">
        <v>346</v>
      </c>
      <c r="H2" s="353" t="s">
        <v>347</v>
      </c>
      <c r="I2" s="353" t="s">
        <v>348</v>
      </c>
      <c r="J2" s="353" t="s">
        <v>349</v>
      </c>
      <c r="K2" s="353" t="s">
        <v>350</v>
      </c>
      <c r="L2" s="353" t="s">
        <v>351</v>
      </c>
      <c r="M2" s="353" t="s">
        <v>352</v>
      </c>
      <c r="N2" s="353" t="s">
        <v>353</v>
      </c>
      <c r="O2" s="353" t="s">
        <v>354</v>
      </c>
      <c r="P2" s="353" t="s">
        <v>355</v>
      </c>
      <c r="Q2" s="353" t="s">
        <v>356</v>
      </c>
    </row>
    <row r="3" spans="1:18" ht="15.75" thickBot="1" x14ac:dyDescent="0.3">
      <c r="A3" s="355"/>
      <c r="C3" s="347">
        <v>25.73</v>
      </c>
      <c r="D3" s="348">
        <v>25.93</v>
      </c>
      <c r="E3" s="348">
        <v>26.15</v>
      </c>
      <c r="F3" s="348">
        <v>26.34</v>
      </c>
      <c r="G3" s="349">
        <v>26.56</v>
      </c>
      <c r="H3" s="348">
        <v>26.78</v>
      </c>
      <c r="I3" s="348">
        <v>27</v>
      </c>
      <c r="J3" s="348">
        <v>27.22</v>
      </c>
      <c r="K3" s="348">
        <v>27.44</v>
      </c>
      <c r="L3" s="348">
        <v>27.69</v>
      </c>
      <c r="M3" s="348">
        <v>27.91</v>
      </c>
      <c r="N3" s="348">
        <v>28.15</v>
      </c>
      <c r="O3" s="348">
        <v>28.37</v>
      </c>
      <c r="P3" s="348">
        <v>28.61</v>
      </c>
      <c r="Q3" s="348">
        <v>28.86</v>
      </c>
      <c r="R3" s="356">
        <v>1.02</v>
      </c>
    </row>
    <row r="4" spans="1:18" ht="15.75" thickBot="1" x14ac:dyDescent="0.3">
      <c r="A4" s="355"/>
      <c r="C4" s="350">
        <v>26</v>
      </c>
      <c r="D4" s="351">
        <v>26.2</v>
      </c>
      <c r="E4" s="351">
        <v>26.42</v>
      </c>
      <c r="F4" s="351">
        <v>26.61</v>
      </c>
      <c r="G4" s="352">
        <v>26.83</v>
      </c>
      <c r="H4" s="351">
        <v>27.05</v>
      </c>
      <c r="I4" s="351">
        <v>27.27</v>
      </c>
      <c r="J4" s="351">
        <v>27.49</v>
      </c>
      <c r="K4" s="351">
        <v>27.71</v>
      </c>
      <c r="L4" s="351">
        <v>27.95</v>
      </c>
      <c r="M4" s="351">
        <v>28.17</v>
      </c>
      <c r="N4" s="351">
        <v>28.42</v>
      </c>
      <c r="O4" s="351">
        <v>28.64</v>
      </c>
      <c r="P4" s="351">
        <v>28.91</v>
      </c>
      <c r="Q4" s="351">
        <v>29.13</v>
      </c>
      <c r="R4" s="11">
        <f>R3+0.0002</f>
        <v>1.0202</v>
      </c>
    </row>
    <row r="5" spans="1:18" ht="15.75" thickBot="1" x14ac:dyDescent="0.3">
      <c r="C5" s="350">
        <v>26.25</v>
      </c>
      <c r="D5" s="351">
        <v>26.46</v>
      </c>
      <c r="E5" s="351">
        <v>26.66</v>
      </c>
      <c r="F5" s="351">
        <v>26.88</v>
      </c>
      <c r="G5" s="352">
        <v>27.1</v>
      </c>
      <c r="H5" s="351">
        <v>27.32</v>
      </c>
      <c r="I5" s="351">
        <v>27.54</v>
      </c>
      <c r="J5" s="351">
        <v>27.76</v>
      </c>
      <c r="K5" s="351">
        <v>27.98</v>
      </c>
      <c r="L5" s="351">
        <v>28.23</v>
      </c>
      <c r="M5" s="351">
        <v>28.44</v>
      </c>
      <c r="N5" s="351">
        <v>28.69</v>
      </c>
      <c r="O5" s="351">
        <v>28.93</v>
      </c>
      <c r="P5" s="351">
        <v>29.15</v>
      </c>
      <c r="Q5" s="351">
        <v>29.39</v>
      </c>
      <c r="R5" s="11">
        <f t="shared" ref="R5:R38" si="0">R4+0.0002</f>
        <v>1.0204</v>
      </c>
    </row>
    <row r="6" spans="1:18" ht="15.75" thickBot="1" x14ac:dyDescent="0.3">
      <c r="C6" s="350">
        <v>26.51</v>
      </c>
      <c r="D6" s="351">
        <v>26.73</v>
      </c>
      <c r="E6" s="351">
        <v>26.93</v>
      </c>
      <c r="F6" s="351">
        <v>27.15</v>
      </c>
      <c r="G6" s="352">
        <v>27.37</v>
      </c>
      <c r="H6" s="351">
        <v>27.59</v>
      </c>
      <c r="I6" s="351">
        <v>27.81</v>
      </c>
      <c r="J6" s="351">
        <v>28.03</v>
      </c>
      <c r="K6" s="351">
        <v>28.25</v>
      </c>
      <c r="L6" s="351">
        <v>28.47</v>
      </c>
      <c r="M6" s="351">
        <v>28.71</v>
      </c>
      <c r="N6" s="351">
        <v>28.96</v>
      </c>
      <c r="O6" s="351">
        <v>29.2</v>
      </c>
      <c r="P6" s="351">
        <v>29.42</v>
      </c>
      <c r="Q6" s="351">
        <v>29.66</v>
      </c>
      <c r="R6" s="11">
        <f t="shared" si="0"/>
        <v>1.0206</v>
      </c>
    </row>
    <row r="7" spans="1:18" ht="15.75" thickBot="1" x14ac:dyDescent="0.3">
      <c r="C7" s="350">
        <v>26.78</v>
      </c>
      <c r="D7" s="351">
        <v>27</v>
      </c>
      <c r="E7" s="351">
        <v>27.2</v>
      </c>
      <c r="F7" s="351">
        <v>27.42</v>
      </c>
      <c r="G7" s="352">
        <v>27.64</v>
      </c>
      <c r="H7" s="351">
        <v>27.83</v>
      </c>
      <c r="I7" s="351">
        <v>28.08</v>
      </c>
      <c r="J7" s="351">
        <v>28.3</v>
      </c>
      <c r="K7" s="351">
        <v>28.52</v>
      </c>
      <c r="L7" s="351">
        <v>28.74</v>
      </c>
      <c r="M7" s="351">
        <v>28.98</v>
      </c>
      <c r="N7" s="351">
        <v>29.22</v>
      </c>
      <c r="O7" s="351">
        <v>29.44</v>
      </c>
      <c r="P7" s="351">
        <v>29.69</v>
      </c>
      <c r="Q7" s="351">
        <v>29.93</v>
      </c>
      <c r="R7" s="11">
        <f t="shared" si="0"/>
        <v>1.0207999999999999</v>
      </c>
    </row>
    <row r="8" spans="1:18" ht="15.75" thickBot="1" x14ac:dyDescent="0.3">
      <c r="C8" s="350">
        <v>27.05</v>
      </c>
      <c r="D8" s="351">
        <v>27.25</v>
      </c>
      <c r="E8" s="351">
        <v>27.47</v>
      </c>
      <c r="F8" s="351">
        <v>27.69</v>
      </c>
      <c r="G8" s="352">
        <v>27.88</v>
      </c>
      <c r="H8" s="351">
        <v>28.1</v>
      </c>
      <c r="I8" s="351">
        <v>28.32</v>
      </c>
      <c r="J8" s="351">
        <v>28.56</v>
      </c>
      <c r="K8" s="351">
        <v>28.78</v>
      </c>
      <c r="L8" s="351">
        <v>29.03</v>
      </c>
      <c r="M8" s="351">
        <v>29.25</v>
      </c>
      <c r="N8" s="351">
        <v>29.49</v>
      </c>
      <c r="O8" s="351">
        <v>29.71</v>
      </c>
      <c r="P8" s="351">
        <v>29.96</v>
      </c>
      <c r="Q8" s="351">
        <v>30.2</v>
      </c>
      <c r="R8" s="11">
        <f t="shared" si="0"/>
        <v>1.0209999999999999</v>
      </c>
    </row>
    <row r="9" spans="1:18" ht="15.75" thickBot="1" x14ac:dyDescent="0.3">
      <c r="C9" s="350">
        <v>27.32</v>
      </c>
      <c r="D9" s="351">
        <v>27.51</v>
      </c>
      <c r="E9" s="351">
        <v>27.73</v>
      </c>
      <c r="F9" s="351">
        <v>27.93</v>
      </c>
      <c r="G9" s="352">
        <v>28.15</v>
      </c>
      <c r="H9" s="351">
        <v>28.37</v>
      </c>
      <c r="I9" s="351">
        <v>28.59</v>
      </c>
      <c r="J9" s="351">
        <v>28.81</v>
      </c>
      <c r="K9" s="351">
        <v>29.05</v>
      </c>
      <c r="L9" s="351">
        <v>29.3</v>
      </c>
      <c r="M9" s="351">
        <v>29.52</v>
      </c>
      <c r="N9" s="351">
        <v>29.76</v>
      </c>
      <c r="O9" s="351">
        <v>29.98</v>
      </c>
      <c r="P9" s="351">
        <v>30.22</v>
      </c>
      <c r="Q9" s="351">
        <v>30.47</v>
      </c>
      <c r="R9" s="11">
        <f t="shared" si="0"/>
        <v>1.0211999999999999</v>
      </c>
    </row>
    <row r="10" spans="1:18" ht="15.75" thickBot="1" x14ac:dyDescent="0.3">
      <c r="C10" s="350">
        <v>27.56</v>
      </c>
      <c r="D10" s="351">
        <v>27.78</v>
      </c>
      <c r="E10" s="351">
        <v>27.98</v>
      </c>
      <c r="F10" s="351">
        <v>28.2</v>
      </c>
      <c r="G10" s="352">
        <v>28.42</v>
      </c>
      <c r="H10" s="351">
        <v>28.64</v>
      </c>
      <c r="I10" s="351">
        <v>28.86</v>
      </c>
      <c r="J10" s="351">
        <v>29.08</v>
      </c>
      <c r="K10" s="351">
        <v>29.32</v>
      </c>
      <c r="L10" s="351">
        <v>29.54</v>
      </c>
      <c r="M10" s="351">
        <v>29.79</v>
      </c>
      <c r="N10" s="351">
        <v>30.03</v>
      </c>
      <c r="O10" s="351">
        <v>30.25</v>
      </c>
      <c r="P10" s="351">
        <v>30.49</v>
      </c>
      <c r="Q10" s="351">
        <v>30.76</v>
      </c>
      <c r="R10" s="11">
        <f t="shared" si="0"/>
        <v>1.0213999999999999</v>
      </c>
    </row>
    <row r="11" spans="1:18" ht="15.75" thickBot="1" x14ac:dyDescent="0.3">
      <c r="C11" s="350">
        <v>27.83</v>
      </c>
      <c r="D11" s="351">
        <v>28.05</v>
      </c>
      <c r="E11" s="351">
        <v>28.25</v>
      </c>
      <c r="F11" s="351">
        <v>28.47</v>
      </c>
      <c r="G11" s="352">
        <v>28.69</v>
      </c>
      <c r="H11" s="351">
        <v>28.9</v>
      </c>
      <c r="I11" s="351">
        <v>29.13</v>
      </c>
      <c r="J11" s="351">
        <v>29.34</v>
      </c>
      <c r="K11" s="351">
        <v>29.59</v>
      </c>
      <c r="L11" s="351">
        <v>29.81</v>
      </c>
      <c r="M11" s="351">
        <v>30.05</v>
      </c>
      <c r="N11" s="351">
        <v>30.27</v>
      </c>
      <c r="O11" s="351">
        <v>30.52</v>
      </c>
      <c r="P11" s="351">
        <v>30.76</v>
      </c>
      <c r="Q11" s="351">
        <v>31.01</v>
      </c>
      <c r="R11" s="11">
        <f t="shared" si="0"/>
        <v>1.0215999999999998</v>
      </c>
    </row>
    <row r="12" spans="1:18" ht="15.75" thickBot="1" x14ac:dyDescent="0.3">
      <c r="C12" s="350">
        <v>28.1</v>
      </c>
      <c r="D12" s="351">
        <v>28.32</v>
      </c>
      <c r="E12" s="351">
        <v>28.52</v>
      </c>
      <c r="F12" s="351">
        <v>28.74</v>
      </c>
      <c r="G12" s="352">
        <v>28.96</v>
      </c>
      <c r="H12" s="351">
        <v>29.17</v>
      </c>
      <c r="I12" s="351">
        <v>29.39</v>
      </c>
      <c r="J12" s="351">
        <v>29.61</v>
      </c>
      <c r="K12" s="351">
        <v>29.85</v>
      </c>
      <c r="L12" s="351">
        <v>30.08</v>
      </c>
      <c r="M12" s="351">
        <v>30.32</v>
      </c>
      <c r="N12" s="351">
        <v>30.54</v>
      </c>
      <c r="O12" s="351">
        <v>30.84</v>
      </c>
      <c r="P12" s="351">
        <v>31.03</v>
      </c>
      <c r="Q12" s="351">
        <v>31.27</v>
      </c>
      <c r="R12" s="11">
        <f t="shared" si="0"/>
        <v>1.0217999999999998</v>
      </c>
    </row>
    <row r="13" spans="1:18" ht="15.75" thickBot="1" x14ac:dyDescent="0.3">
      <c r="C13" s="350">
        <v>28.37</v>
      </c>
      <c r="D13" s="351">
        <v>28.56</v>
      </c>
      <c r="E13" s="351">
        <v>28.78</v>
      </c>
      <c r="F13" s="351">
        <v>29</v>
      </c>
      <c r="G13" s="352">
        <v>29.22</v>
      </c>
      <c r="H13" s="351">
        <v>29.44</v>
      </c>
      <c r="I13" s="351">
        <v>29.66</v>
      </c>
      <c r="J13" s="351">
        <v>29.88</v>
      </c>
      <c r="K13" s="351">
        <v>30.13</v>
      </c>
      <c r="L13" s="351">
        <v>30.35</v>
      </c>
      <c r="M13" s="351">
        <v>30.57</v>
      </c>
      <c r="N13" s="351">
        <v>30.83</v>
      </c>
      <c r="O13" s="351">
        <v>31.05</v>
      </c>
      <c r="P13" s="351">
        <v>31.3</v>
      </c>
      <c r="Q13" s="351">
        <v>31.54</v>
      </c>
      <c r="R13" s="11">
        <f t="shared" si="0"/>
        <v>1.0219999999999998</v>
      </c>
    </row>
    <row r="14" spans="1:18" ht="15.75" thickBot="1" x14ac:dyDescent="0.3">
      <c r="C14" s="350">
        <v>28.61</v>
      </c>
      <c r="D14" s="351">
        <v>28.83</v>
      </c>
      <c r="E14" s="351">
        <v>29.05</v>
      </c>
      <c r="F14" s="351">
        <v>29.27</v>
      </c>
      <c r="G14" s="352">
        <v>29.49</v>
      </c>
      <c r="H14" s="351">
        <v>29.71</v>
      </c>
      <c r="I14" s="351">
        <v>29.93</v>
      </c>
      <c r="J14" s="351">
        <v>30.15</v>
      </c>
      <c r="K14" s="351">
        <v>30.37</v>
      </c>
      <c r="L14" s="351">
        <v>30.62</v>
      </c>
      <c r="M14" s="351">
        <v>30.86</v>
      </c>
      <c r="N14" s="351">
        <v>31.1</v>
      </c>
      <c r="O14" s="351">
        <v>31.32</v>
      </c>
      <c r="P14" s="351">
        <v>31.57</v>
      </c>
      <c r="Q14" s="351">
        <v>31.81</v>
      </c>
      <c r="R14" s="11">
        <f t="shared" si="0"/>
        <v>1.0221999999999998</v>
      </c>
    </row>
    <row r="15" spans="1:18" ht="15.75" thickBot="1" x14ac:dyDescent="0.3">
      <c r="C15" s="350">
        <v>28.88</v>
      </c>
      <c r="D15" s="351">
        <v>29.1</v>
      </c>
      <c r="E15" s="351">
        <v>29.32</v>
      </c>
      <c r="F15" s="351">
        <v>29.52</v>
      </c>
      <c r="G15" s="352">
        <v>29.74</v>
      </c>
      <c r="H15" s="351">
        <v>29.96</v>
      </c>
      <c r="I15" s="351">
        <v>30.2</v>
      </c>
      <c r="J15" s="351">
        <v>30.42</v>
      </c>
      <c r="K15" s="351">
        <v>30.64</v>
      </c>
      <c r="L15" s="351">
        <v>30.88</v>
      </c>
      <c r="M15" s="351">
        <v>31.13</v>
      </c>
      <c r="N15" s="351">
        <v>31.35</v>
      </c>
      <c r="O15" s="351">
        <v>31.59</v>
      </c>
      <c r="P15" s="351">
        <v>31.84</v>
      </c>
      <c r="Q15" s="351">
        <v>32.08</v>
      </c>
      <c r="R15" s="11">
        <f t="shared" si="0"/>
        <v>1.0223999999999998</v>
      </c>
    </row>
    <row r="16" spans="1:18" ht="15.75" thickBot="1" x14ac:dyDescent="0.3">
      <c r="C16" s="350">
        <v>29.15</v>
      </c>
      <c r="D16" s="351">
        <v>29.37</v>
      </c>
      <c r="E16" s="351">
        <v>29.57</v>
      </c>
      <c r="F16" s="351">
        <v>29.79</v>
      </c>
      <c r="G16" s="352">
        <v>30</v>
      </c>
      <c r="H16" s="351">
        <v>30.22</v>
      </c>
      <c r="I16" s="351">
        <v>30.47</v>
      </c>
      <c r="J16" s="351">
        <v>30.69</v>
      </c>
      <c r="K16" s="351">
        <v>30.91</v>
      </c>
      <c r="L16" s="351">
        <v>31.15</v>
      </c>
      <c r="M16" s="351">
        <v>31.4</v>
      </c>
      <c r="N16" s="351">
        <v>31.62</v>
      </c>
      <c r="O16" s="351">
        <v>31.86</v>
      </c>
      <c r="P16" s="351">
        <v>32.1</v>
      </c>
      <c r="Q16" s="351">
        <v>32.35</v>
      </c>
      <c r="R16" s="11">
        <f t="shared" si="0"/>
        <v>1.0225999999999997</v>
      </c>
    </row>
    <row r="17" spans="3:18" ht="15.75" thickBot="1" x14ac:dyDescent="0.3">
      <c r="C17" s="350">
        <v>29.42</v>
      </c>
      <c r="D17" s="351">
        <v>29.61</v>
      </c>
      <c r="E17" s="351">
        <v>29.83</v>
      </c>
      <c r="F17" s="351">
        <v>30.05</v>
      </c>
      <c r="G17" s="352">
        <v>30.27</v>
      </c>
      <c r="H17" s="351">
        <v>30.49</v>
      </c>
      <c r="I17" s="351">
        <v>30.71</v>
      </c>
      <c r="J17" s="351">
        <v>30.96</v>
      </c>
      <c r="K17" s="351">
        <v>31.18</v>
      </c>
      <c r="L17" s="351">
        <v>31.42</v>
      </c>
      <c r="M17" s="351">
        <v>31.64</v>
      </c>
      <c r="N17" s="351">
        <v>31.88</v>
      </c>
      <c r="O17" s="351">
        <v>32.130000000000003</v>
      </c>
      <c r="P17" s="351">
        <v>32.369999999999997</v>
      </c>
      <c r="Q17" s="351">
        <v>32.619999999999997</v>
      </c>
      <c r="R17" s="11">
        <f t="shared" si="0"/>
        <v>1.0227999999999997</v>
      </c>
    </row>
    <row r="18" spans="3:18" ht="15.75" thickBot="1" x14ac:dyDescent="0.3">
      <c r="C18" s="350">
        <v>29.66</v>
      </c>
      <c r="D18" s="351">
        <v>29.88</v>
      </c>
      <c r="E18" s="351">
        <v>30.1</v>
      </c>
      <c r="F18" s="351">
        <v>30.32</v>
      </c>
      <c r="G18" s="352">
        <v>30.54</v>
      </c>
      <c r="H18" s="351">
        <v>30.76</v>
      </c>
      <c r="I18" s="351">
        <v>30.98</v>
      </c>
      <c r="J18" s="351">
        <v>31.22</v>
      </c>
      <c r="K18" s="351">
        <v>31.44</v>
      </c>
      <c r="L18" s="351">
        <v>31.69</v>
      </c>
      <c r="M18" s="351">
        <v>31.91</v>
      </c>
      <c r="N18" s="351">
        <v>32.15</v>
      </c>
      <c r="O18" s="351">
        <v>32.4</v>
      </c>
      <c r="P18" s="351">
        <v>32.64</v>
      </c>
      <c r="Q18" s="351">
        <v>32.89</v>
      </c>
      <c r="R18" s="11">
        <f t="shared" si="0"/>
        <v>1.0229999999999997</v>
      </c>
    </row>
    <row r="19" spans="3:18" ht="15.75" thickBot="1" x14ac:dyDescent="0.3">
      <c r="C19" s="350">
        <v>29.93</v>
      </c>
      <c r="D19" s="351">
        <v>30.15</v>
      </c>
      <c r="E19" s="351">
        <v>30.37</v>
      </c>
      <c r="F19" s="351">
        <v>30.59</v>
      </c>
      <c r="G19" s="352">
        <v>30.81</v>
      </c>
      <c r="H19" s="351">
        <v>31.03</v>
      </c>
      <c r="I19" s="351">
        <v>31.25</v>
      </c>
      <c r="J19" s="351">
        <v>31.49</v>
      </c>
      <c r="K19" s="351">
        <v>31.71</v>
      </c>
      <c r="L19" s="351">
        <v>31.93</v>
      </c>
      <c r="M19" s="351">
        <v>32.18</v>
      </c>
      <c r="N19" s="351">
        <v>32.42</v>
      </c>
      <c r="O19" s="351">
        <v>32.67</v>
      </c>
      <c r="P19" s="351">
        <v>32.909999999999997</v>
      </c>
      <c r="Q19" s="351">
        <v>33.15</v>
      </c>
      <c r="R19" s="11">
        <f t="shared" si="0"/>
        <v>1.0231999999999997</v>
      </c>
    </row>
    <row r="20" spans="3:18" ht="15.75" thickBot="1" x14ac:dyDescent="0.3">
      <c r="C20" s="350">
        <v>30.2</v>
      </c>
      <c r="D20" s="351">
        <v>30.42</v>
      </c>
      <c r="E20" s="351">
        <v>30.62</v>
      </c>
      <c r="F20" s="351">
        <v>30.86</v>
      </c>
      <c r="G20" s="352">
        <v>31.05</v>
      </c>
      <c r="H20" s="351">
        <v>31.3</v>
      </c>
      <c r="I20" s="351">
        <v>31.52</v>
      </c>
      <c r="J20" s="351">
        <v>31.74</v>
      </c>
      <c r="K20" s="351">
        <v>31.98</v>
      </c>
      <c r="L20" s="351">
        <v>32.200000000000003</v>
      </c>
      <c r="M20" s="351">
        <v>32.450000000000003</v>
      </c>
      <c r="N20" s="351">
        <v>32.69</v>
      </c>
      <c r="O20" s="351">
        <v>32.93</v>
      </c>
      <c r="P20" s="351">
        <v>33.18</v>
      </c>
      <c r="Q20" s="351">
        <v>33.42</v>
      </c>
      <c r="R20" s="11">
        <f t="shared" si="0"/>
        <v>1.0233999999999996</v>
      </c>
    </row>
    <row r="21" spans="3:18" ht="15.75" thickBot="1" x14ac:dyDescent="0.3">
      <c r="C21" s="350">
        <v>30.47</v>
      </c>
      <c r="D21" s="351">
        <v>30.66</v>
      </c>
      <c r="E21" s="351">
        <v>30.88</v>
      </c>
      <c r="F21" s="351">
        <v>31.1</v>
      </c>
      <c r="G21" s="352">
        <v>31.32</v>
      </c>
      <c r="H21" s="351">
        <v>31.57</v>
      </c>
      <c r="I21" s="351">
        <v>31.79</v>
      </c>
      <c r="J21" s="351">
        <v>32.01</v>
      </c>
      <c r="K21" s="351">
        <v>32.25</v>
      </c>
      <c r="L21" s="351">
        <v>32.47</v>
      </c>
      <c r="M21" s="351">
        <v>32.71</v>
      </c>
      <c r="N21" s="351">
        <v>32.96</v>
      </c>
      <c r="O21" s="351">
        <v>33.200000000000003</v>
      </c>
      <c r="P21" s="351">
        <v>33.450000000000003</v>
      </c>
      <c r="Q21" s="351">
        <v>33.69</v>
      </c>
      <c r="R21" s="11">
        <f t="shared" si="0"/>
        <v>1.0235999999999996</v>
      </c>
    </row>
    <row r="22" spans="3:18" ht="15.75" thickBot="1" x14ac:dyDescent="0.3">
      <c r="C22" s="350">
        <v>30.71</v>
      </c>
      <c r="D22" s="351">
        <v>30.93</v>
      </c>
      <c r="E22" s="351">
        <v>31.15</v>
      </c>
      <c r="F22" s="351">
        <v>31.37</v>
      </c>
      <c r="G22" s="352">
        <v>31.59</v>
      </c>
      <c r="H22" s="351">
        <v>31.81</v>
      </c>
      <c r="I22" s="351">
        <v>32.06</v>
      </c>
      <c r="J22" s="351">
        <v>32.270000000000003</v>
      </c>
      <c r="K22" s="351">
        <v>32.520000000000003</v>
      </c>
      <c r="L22" s="351">
        <v>32.74</v>
      </c>
      <c r="M22" s="351">
        <v>32.979999999999997</v>
      </c>
      <c r="N22" s="351">
        <v>33.229999999999997</v>
      </c>
      <c r="O22" s="351">
        <v>33.47</v>
      </c>
      <c r="P22" s="351">
        <v>33.72</v>
      </c>
      <c r="Q22" s="351">
        <v>33.96</v>
      </c>
      <c r="R22" s="11">
        <f t="shared" si="0"/>
        <v>1.0237999999999996</v>
      </c>
    </row>
    <row r="23" spans="3:18" ht="15.75" thickBot="1" x14ac:dyDescent="0.3">
      <c r="C23" s="350">
        <v>30.98</v>
      </c>
      <c r="D23" s="351">
        <v>31.2</v>
      </c>
      <c r="E23" s="351">
        <v>31.42</v>
      </c>
      <c r="F23" s="351">
        <v>31.64</v>
      </c>
      <c r="G23" s="352">
        <v>31.86</v>
      </c>
      <c r="H23" s="351">
        <v>32.08</v>
      </c>
      <c r="I23" s="351">
        <v>32.32</v>
      </c>
      <c r="J23" s="351">
        <v>32.54</v>
      </c>
      <c r="K23" s="351">
        <v>32.76</v>
      </c>
      <c r="L23" s="351">
        <v>33.01</v>
      </c>
      <c r="M23" s="351">
        <v>33.25</v>
      </c>
      <c r="N23" s="351">
        <v>33.5</v>
      </c>
      <c r="O23" s="351">
        <v>33.74</v>
      </c>
      <c r="P23" s="351">
        <v>33.979999999999997</v>
      </c>
      <c r="Q23" s="351">
        <v>34.229999999999997</v>
      </c>
      <c r="R23" s="11">
        <f t="shared" si="0"/>
        <v>1.0239999999999996</v>
      </c>
    </row>
    <row r="24" spans="3:18" ht="15.75" thickBot="1" x14ac:dyDescent="0.3">
      <c r="C24" s="350">
        <v>31.25</v>
      </c>
      <c r="D24" s="351">
        <v>31.47</v>
      </c>
      <c r="E24" s="351">
        <v>31.89</v>
      </c>
      <c r="F24" s="351">
        <v>31.91</v>
      </c>
      <c r="G24" s="352">
        <v>32.130000000000003</v>
      </c>
      <c r="H24" s="351">
        <v>32.35</v>
      </c>
      <c r="I24" s="351">
        <v>32.57</v>
      </c>
      <c r="J24" s="351">
        <v>32.81</v>
      </c>
      <c r="K24" s="351">
        <v>33.03</v>
      </c>
      <c r="L24" s="351">
        <v>33.28</v>
      </c>
      <c r="M24" s="351">
        <v>33.520000000000003</v>
      </c>
      <c r="N24" s="351">
        <v>33.76</v>
      </c>
      <c r="O24" s="351">
        <v>34.01</v>
      </c>
      <c r="P24" s="351">
        <v>34.25</v>
      </c>
      <c r="Q24" s="351">
        <v>34.5</v>
      </c>
      <c r="R24" s="11">
        <f t="shared" si="0"/>
        <v>1.0241999999999996</v>
      </c>
    </row>
    <row r="25" spans="3:18" ht="15.75" thickBot="1" x14ac:dyDescent="0.3">
      <c r="C25" s="350">
        <v>31.52</v>
      </c>
      <c r="D25" s="351">
        <v>31.74</v>
      </c>
      <c r="E25" s="351">
        <v>31.93</v>
      </c>
      <c r="F25" s="351">
        <v>32.18</v>
      </c>
      <c r="G25" s="352">
        <v>32.4</v>
      </c>
      <c r="H25" s="351">
        <v>32.619999999999997</v>
      </c>
      <c r="I25" s="351">
        <v>32.840000000000003</v>
      </c>
      <c r="J25" s="351">
        <v>33.08</v>
      </c>
      <c r="K25" s="351">
        <v>33.299999999999997</v>
      </c>
      <c r="L25" s="351">
        <v>33.54</v>
      </c>
      <c r="M25" s="351">
        <v>33.79</v>
      </c>
      <c r="N25" s="351">
        <v>34.03</v>
      </c>
      <c r="O25" s="351">
        <v>34.28</v>
      </c>
      <c r="P25" s="351">
        <v>34.520000000000003</v>
      </c>
      <c r="Q25" s="351">
        <v>34.770000000000003</v>
      </c>
      <c r="R25" s="11">
        <f t="shared" si="0"/>
        <v>1.0243999999999995</v>
      </c>
    </row>
    <row r="26" spans="3:18" ht="15.75" thickBot="1" x14ac:dyDescent="0.3">
      <c r="C26" s="350">
        <v>31.79</v>
      </c>
      <c r="D26" s="351">
        <v>31.98</v>
      </c>
      <c r="E26" s="351">
        <v>32.200000000000003</v>
      </c>
      <c r="F26" s="351">
        <v>32.42</v>
      </c>
      <c r="G26" s="352">
        <v>32.67</v>
      </c>
      <c r="H26" s="351">
        <v>32.89</v>
      </c>
      <c r="I26" s="351">
        <v>33.1</v>
      </c>
      <c r="J26" s="351">
        <v>33.35</v>
      </c>
      <c r="K26" s="351">
        <v>33.57</v>
      </c>
      <c r="L26" s="351">
        <v>33.81</v>
      </c>
      <c r="M26" s="351">
        <v>34.06</v>
      </c>
      <c r="N26" s="351">
        <v>34.28</v>
      </c>
      <c r="O26" s="351">
        <v>34.549999999999997</v>
      </c>
      <c r="P26" s="351">
        <v>34.79</v>
      </c>
      <c r="Q26" s="351">
        <v>35.03</v>
      </c>
      <c r="R26" s="11">
        <f t="shared" si="0"/>
        <v>1.0245999999999995</v>
      </c>
    </row>
    <row r="27" spans="3:18" ht="15.75" thickBot="1" x14ac:dyDescent="0.3">
      <c r="C27" s="350">
        <v>32.03</v>
      </c>
      <c r="D27" s="351">
        <v>32.25</v>
      </c>
      <c r="E27" s="351">
        <v>32.47</v>
      </c>
      <c r="F27" s="351">
        <v>32.69</v>
      </c>
      <c r="G27" s="352">
        <v>32.909999999999997</v>
      </c>
      <c r="H27" s="351">
        <v>33.15</v>
      </c>
      <c r="I27" s="351">
        <v>33.369999999999997</v>
      </c>
      <c r="J27" s="351">
        <v>33.590000000000003</v>
      </c>
      <c r="K27" s="351">
        <v>33.840000000000003</v>
      </c>
      <c r="L27" s="351">
        <v>34.08</v>
      </c>
      <c r="M27" s="351">
        <v>34.33</v>
      </c>
      <c r="N27" s="351">
        <v>34.57</v>
      </c>
      <c r="O27" s="351">
        <v>34.81</v>
      </c>
      <c r="P27" s="351">
        <v>35.06</v>
      </c>
      <c r="Q27" s="351">
        <v>35.299999999999997</v>
      </c>
      <c r="R27" s="11">
        <f t="shared" si="0"/>
        <v>1.0247999999999995</v>
      </c>
    </row>
    <row r="28" spans="3:18" ht="15.75" thickBot="1" x14ac:dyDescent="0.3">
      <c r="C28" s="350">
        <v>32.299999999999997</v>
      </c>
      <c r="D28" s="351">
        <v>32.520000000000003</v>
      </c>
      <c r="E28" s="351">
        <v>32.74</v>
      </c>
      <c r="F28" s="351">
        <v>32.96</v>
      </c>
      <c r="G28" s="352">
        <v>33.18</v>
      </c>
      <c r="H28" s="351">
        <v>33.42</v>
      </c>
      <c r="I28" s="351">
        <v>33.64</v>
      </c>
      <c r="J28" s="351">
        <v>33.86</v>
      </c>
      <c r="K28" s="351">
        <v>34.11</v>
      </c>
      <c r="L28" s="351">
        <v>34.35</v>
      </c>
      <c r="M28" s="351">
        <v>34.590000000000003</v>
      </c>
      <c r="N28" s="351">
        <v>34.840000000000003</v>
      </c>
      <c r="O28" s="351">
        <v>35.08</v>
      </c>
      <c r="P28" s="351">
        <v>35.659999999999997</v>
      </c>
      <c r="Q28" s="351">
        <v>35.57</v>
      </c>
      <c r="R28" s="11">
        <f t="shared" si="0"/>
        <v>1.0249999999999995</v>
      </c>
    </row>
    <row r="29" spans="3:18" ht="15.75" thickBot="1" x14ac:dyDescent="0.3">
      <c r="C29" s="350">
        <v>32.57</v>
      </c>
      <c r="D29" s="351">
        <v>32.79</v>
      </c>
      <c r="E29" s="351">
        <v>33.01</v>
      </c>
      <c r="F29" s="351">
        <v>33.229999999999997</v>
      </c>
      <c r="G29" s="352">
        <v>33.450000000000003</v>
      </c>
      <c r="H29" s="351">
        <v>33.69</v>
      </c>
      <c r="I29" s="351">
        <v>33.909999999999997</v>
      </c>
      <c r="J29" s="351">
        <v>34.130000000000003</v>
      </c>
      <c r="K29" s="351">
        <v>34.380000000000003</v>
      </c>
      <c r="L29" s="351">
        <v>34.619999999999997</v>
      </c>
      <c r="M29" s="351">
        <v>34.86</v>
      </c>
      <c r="N29" s="351">
        <v>35.11</v>
      </c>
      <c r="O29" s="351">
        <v>35.35</v>
      </c>
      <c r="P29" s="351">
        <v>35.6</v>
      </c>
      <c r="Q29" s="351">
        <v>35.840000000000003</v>
      </c>
      <c r="R29" s="11">
        <f t="shared" si="0"/>
        <v>1.0251999999999994</v>
      </c>
    </row>
    <row r="30" spans="3:18" ht="15.75" thickBot="1" x14ac:dyDescent="0.3">
      <c r="C30" s="350">
        <v>32.840000000000003</v>
      </c>
      <c r="D30" s="351">
        <v>33.06</v>
      </c>
      <c r="E30" s="351">
        <v>33.25</v>
      </c>
      <c r="F30" s="351">
        <v>33.5</v>
      </c>
      <c r="G30" s="352">
        <v>33.72</v>
      </c>
      <c r="H30" s="351">
        <v>33.93</v>
      </c>
      <c r="I30" s="351">
        <v>34.18</v>
      </c>
      <c r="J30" s="351">
        <v>34.4</v>
      </c>
      <c r="K30" s="351">
        <v>34.64</v>
      </c>
      <c r="L30" s="351">
        <v>34.89</v>
      </c>
      <c r="M30" s="351">
        <v>35.11</v>
      </c>
      <c r="N30" s="351">
        <v>35.35</v>
      </c>
      <c r="O30" s="351">
        <v>35.6</v>
      </c>
      <c r="P30" s="351">
        <v>35.840000000000003</v>
      </c>
      <c r="Q30" s="351">
        <v>36.659999999999997</v>
      </c>
      <c r="R30" s="11">
        <f t="shared" si="0"/>
        <v>1.0253999999999994</v>
      </c>
    </row>
    <row r="31" spans="3:18" ht="15.75" thickBot="1" x14ac:dyDescent="0.3">
      <c r="C31" s="350">
        <v>33.08</v>
      </c>
      <c r="D31" s="351">
        <v>33.299999999999997</v>
      </c>
      <c r="E31" s="351">
        <v>33.520000000000003</v>
      </c>
      <c r="F31" s="351">
        <v>33.74</v>
      </c>
      <c r="G31" s="352">
        <v>33.979999999999997</v>
      </c>
      <c r="H31" s="351">
        <v>34.200000000000003</v>
      </c>
      <c r="I31" s="351">
        <v>34.42</v>
      </c>
      <c r="J31" s="351">
        <v>34.67</v>
      </c>
      <c r="K31" s="351">
        <v>34.909999999999997</v>
      </c>
      <c r="L31" s="351">
        <v>35.159999999999997</v>
      </c>
      <c r="M31" s="351">
        <v>35.380000000000003</v>
      </c>
      <c r="N31" s="351">
        <v>35.619999999999997</v>
      </c>
      <c r="O31" s="351">
        <v>35.86</v>
      </c>
      <c r="P31" s="351">
        <v>36.11</v>
      </c>
      <c r="Q31" s="351">
        <v>36.380000000000003</v>
      </c>
      <c r="R31" s="11">
        <f t="shared" si="0"/>
        <v>1.0255999999999994</v>
      </c>
    </row>
    <row r="32" spans="3:18" ht="15.75" thickBot="1" x14ac:dyDescent="0.3">
      <c r="C32" s="350">
        <v>33.35</v>
      </c>
      <c r="D32" s="351">
        <v>33.57</v>
      </c>
      <c r="E32" s="351">
        <v>33.79</v>
      </c>
      <c r="F32" s="351">
        <v>34.01</v>
      </c>
      <c r="G32" s="352">
        <v>34.229999999999997</v>
      </c>
      <c r="H32" s="351">
        <v>34.47</v>
      </c>
      <c r="I32" s="351">
        <v>34.69</v>
      </c>
      <c r="J32" s="351">
        <v>34.94</v>
      </c>
      <c r="K32" s="351">
        <v>35.159999999999997</v>
      </c>
      <c r="L32" s="351">
        <v>35.4</v>
      </c>
      <c r="M32" s="351">
        <v>35.340000000000003</v>
      </c>
      <c r="N32" s="351">
        <v>35.89</v>
      </c>
      <c r="O32" s="351">
        <v>36.130000000000003</v>
      </c>
      <c r="P32" s="351">
        <v>36.450000000000003</v>
      </c>
      <c r="Q32" s="351">
        <v>36.65</v>
      </c>
      <c r="R32" s="11">
        <f t="shared" si="0"/>
        <v>1.0257999999999994</v>
      </c>
    </row>
    <row r="33" spans="3:18" ht="15.75" thickBot="1" x14ac:dyDescent="0.3">
      <c r="C33" s="350">
        <v>33.619999999999997</v>
      </c>
      <c r="D33" s="351">
        <v>33.840000000000003</v>
      </c>
      <c r="E33" s="351">
        <v>34.06</v>
      </c>
      <c r="F33" s="351">
        <v>34.28</v>
      </c>
      <c r="G33" s="352">
        <v>34.5</v>
      </c>
      <c r="H33" s="351">
        <v>34.74</v>
      </c>
      <c r="I33" s="351">
        <v>34.96</v>
      </c>
      <c r="J33" s="351">
        <v>35.200000000000003</v>
      </c>
      <c r="K33" s="351">
        <v>35.42</v>
      </c>
      <c r="L33" s="351">
        <v>35.67</v>
      </c>
      <c r="M33" s="351">
        <v>35.909999999999997</v>
      </c>
      <c r="N33" s="351">
        <v>36.159999999999997</v>
      </c>
      <c r="O33" s="351">
        <v>36.43</v>
      </c>
      <c r="P33" s="351">
        <v>36.67</v>
      </c>
      <c r="Q33" s="351">
        <v>36.909999999999997</v>
      </c>
      <c r="R33" s="11">
        <f t="shared" si="0"/>
        <v>1.0259999999999994</v>
      </c>
    </row>
    <row r="34" spans="3:18" ht="15.75" thickBot="1" x14ac:dyDescent="0.3">
      <c r="C34" s="350">
        <v>33.89</v>
      </c>
      <c r="D34" s="351">
        <v>34.08</v>
      </c>
      <c r="E34" s="351">
        <v>34.33</v>
      </c>
      <c r="F34" s="351">
        <v>34.549999999999997</v>
      </c>
      <c r="G34" s="352">
        <v>34.770000000000003</v>
      </c>
      <c r="H34" s="351">
        <v>35.01</v>
      </c>
      <c r="I34" s="351">
        <v>35.229999999999997</v>
      </c>
      <c r="J34" s="351">
        <v>35.450000000000003</v>
      </c>
      <c r="K34" s="351">
        <v>35.69</v>
      </c>
      <c r="L34" s="351">
        <v>35.94</v>
      </c>
      <c r="M34" s="351">
        <v>36.18</v>
      </c>
      <c r="N34" s="351">
        <v>36.43</v>
      </c>
      <c r="O34" s="351">
        <v>36.67</v>
      </c>
      <c r="P34" s="351">
        <v>36.909999999999997</v>
      </c>
      <c r="Q34" s="351">
        <v>37.18</v>
      </c>
      <c r="R34" s="11">
        <f t="shared" si="0"/>
        <v>1.0261999999999993</v>
      </c>
    </row>
    <row r="35" spans="3:18" ht="15.75" thickBot="1" x14ac:dyDescent="0.3">
      <c r="C35" s="350">
        <v>34.130000000000003</v>
      </c>
      <c r="D35" s="351">
        <v>34.35</v>
      </c>
      <c r="E35" s="351">
        <v>34.57</v>
      </c>
      <c r="F35" s="351">
        <v>34.81</v>
      </c>
      <c r="G35" s="352">
        <v>35.03</v>
      </c>
      <c r="H35" s="351">
        <v>35.25</v>
      </c>
      <c r="I35" s="351">
        <v>35.5</v>
      </c>
      <c r="J35" s="351">
        <v>35.72</v>
      </c>
      <c r="K35" s="351">
        <v>35.96</v>
      </c>
      <c r="L35" s="351">
        <v>36.21</v>
      </c>
      <c r="M35" s="351">
        <v>36.450000000000003</v>
      </c>
      <c r="N35" s="351">
        <v>36.69</v>
      </c>
      <c r="O35" s="351">
        <v>36.94</v>
      </c>
      <c r="P35" s="351">
        <v>37.18</v>
      </c>
      <c r="Q35" s="351">
        <v>37.450000000000003</v>
      </c>
      <c r="R35" s="11">
        <f t="shared" si="0"/>
        <v>1.0263999999999993</v>
      </c>
    </row>
    <row r="36" spans="3:18" ht="15.75" thickBot="1" x14ac:dyDescent="0.3">
      <c r="C36" s="350">
        <v>34.4</v>
      </c>
      <c r="D36" s="351">
        <v>34.619999999999997</v>
      </c>
      <c r="E36" s="351">
        <v>34.840000000000003</v>
      </c>
      <c r="F36" s="351">
        <v>35.06</v>
      </c>
      <c r="G36" s="352">
        <v>35.299999999999997</v>
      </c>
      <c r="H36" s="351">
        <v>35.520000000000003</v>
      </c>
      <c r="I36" s="351">
        <v>35.74</v>
      </c>
      <c r="J36" s="351">
        <v>35.99</v>
      </c>
      <c r="K36" s="351">
        <v>36.229999999999997</v>
      </c>
      <c r="L36" s="351">
        <v>36.47</v>
      </c>
      <c r="M36" s="351">
        <v>36.72</v>
      </c>
      <c r="N36" s="351">
        <v>36.96</v>
      </c>
      <c r="O36" s="351">
        <v>37.21</v>
      </c>
      <c r="P36" s="351">
        <v>37.450000000000003</v>
      </c>
      <c r="Q36" s="351">
        <v>37.700000000000003</v>
      </c>
      <c r="R36" s="11">
        <f t="shared" si="0"/>
        <v>1.0265999999999993</v>
      </c>
    </row>
    <row r="37" spans="3:18" ht="15.75" thickBot="1" x14ac:dyDescent="0.3">
      <c r="C37" s="350">
        <v>34.67</v>
      </c>
      <c r="D37" s="351">
        <v>34.89</v>
      </c>
      <c r="E37" s="351">
        <v>35.11</v>
      </c>
      <c r="F37" s="351">
        <v>35.33</v>
      </c>
      <c r="G37" s="352">
        <v>35.549999999999997</v>
      </c>
      <c r="H37" s="351">
        <v>35.79</v>
      </c>
      <c r="I37" s="351">
        <v>36.01</v>
      </c>
      <c r="J37" s="351">
        <v>36.25</v>
      </c>
      <c r="K37" s="351">
        <v>36.5</v>
      </c>
      <c r="L37" s="351">
        <v>36.74</v>
      </c>
      <c r="M37" s="351">
        <v>36.99</v>
      </c>
      <c r="N37" s="351">
        <v>37.229999999999997</v>
      </c>
      <c r="O37" s="351">
        <v>37.479999999999997</v>
      </c>
      <c r="P37" s="351">
        <v>37.72</v>
      </c>
      <c r="Q37" s="351">
        <v>37.96</v>
      </c>
      <c r="R37" s="11">
        <f t="shared" si="0"/>
        <v>1.0267999999999993</v>
      </c>
    </row>
    <row r="38" spans="3:18" ht="15.75" thickBot="1" x14ac:dyDescent="0.3">
      <c r="C38" s="350">
        <v>34.909999999999997</v>
      </c>
      <c r="D38" s="351">
        <v>35.159999999999997</v>
      </c>
      <c r="E38" s="351">
        <v>35.380000000000003</v>
      </c>
      <c r="F38" s="351">
        <v>35.6</v>
      </c>
      <c r="G38" s="352">
        <v>35.81</v>
      </c>
      <c r="H38" s="351">
        <v>36.06</v>
      </c>
      <c r="I38" s="351">
        <v>36.28</v>
      </c>
      <c r="J38" s="351">
        <v>36.520000000000003</v>
      </c>
      <c r="K38" s="351">
        <v>36.770000000000003</v>
      </c>
      <c r="L38" s="351">
        <v>37.01</v>
      </c>
      <c r="M38" s="351">
        <v>37.26</v>
      </c>
      <c r="N38" s="351">
        <v>37.5</v>
      </c>
      <c r="O38" s="351">
        <v>37.74</v>
      </c>
      <c r="P38" s="351">
        <v>37.99</v>
      </c>
      <c r="Q38" s="351">
        <v>38.229999999999997</v>
      </c>
      <c r="R38" s="11">
        <f t="shared" si="0"/>
        <v>1.0269999999999992</v>
      </c>
    </row>
  </sheetData>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6B10A-2C09-4BA8-A337-D2BF63BDE30C}">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P54"/>
  <sheetViews>
    <sheetView workbookViewId="0">
      <selection activeCell="F4" sqref="F4"/>
    </sheetView>
  </sheetViews>
  <sheetFormatPr defaultRowHeight="15" x14ac:dyDescent="0.25"/>
  <cols>
    <col min="2" max="2" width="10.85546875" bestFit="1" customWidth="1"/>
    <col min="3" max="3" width="12.85546875" bestFit="1" customWidth="1"/>
    <col min="4" max="4" width="11.5703125" bestFit="1" customWidth="1"/>
    <col min="5" max="5" width="34.140625" bestFit="1" customWidth="1"/>
    <col min="6" max="6" width="9.7109375" customWidth="1"/>
    <col min="11" max="11" width="14.85546875" customWidth="1"/>
    <col min="13" max="13" width="24.28515625" customWidth="1"/>
    <col min="15" max="15" width="20.140625" customWidth="1"/>
  </cols>
  <sheetData>
    <row r="1" spans="1:16" x14ac:dyDescent="0.25">
      <c r="A1" s="9" t="s">
        <v>103</v>
      </c>
      <c r="B1" s="9" t="s">
        <v>117</v>
      </c>
      <c r="C1" s="9" t="s">
        <v>1</v>
      </c>
      <c r="D1" s="9" t="s">
        <v>5</v>
      </c>
      <c r="E1" s="9" t="s">
        <v>2</v>
      </c>
      <c r="F1" s="9" t="s">
        <v>104</v>
      </c>
      <c r="G1" s="9" t="s">
        <v>115</v>
      </c>
      <c r="H1" s="9" t="s">
        <v>116</v>
      </c>
      <c r="I1" s="9" t="s">
        <v>102</v>
      </c>
    </row>
    <row r="2" spans="1:16" x14ac:dyDescent="0.25">
      <c r="B2" t="s">
        <v>106</v>
      </c>
      <c r="C2" t="s">
        <v>27</v>
      </c>
      <c r="D2" t="s">
        <v>38</v>
      </c>
      <c r="E2" t="s">
        <v>11</v>
      </c>
      <c r="F2">
        <v>549</v>
      </c>
      <c r="G2">
        <v>2.24E-2</v>
      </c>
      <c r="H2">
        <v>3.04</v>
      </c>
      <c r="I2" s="2" t="s">
        <v>49</v>
      </c>
    </row>
    <row r="3" spans="1:16" x14ac:dyDescent="0.25">
      <c r="B3" t="s">
        <v>106</v>
      </c>
      <c r="C3" t="s">
        <v>89</v>
      </c>
      <c r="D3" t="s">
        <v>90</v>
      </c>
      <c r="E3" t="s">
        <v>10</v>
      </c>
      <c r="F3">
        <v>101</v>
      </c>
      <c r="G3">
        <v>3.2399999999999998E-2</v>
      </c>
      <c r="H3">
        <v>2.94</v>
      </c>
      <c r="I3" s="2" t="s">
        <v>56</v>
      </c>
      <c r="O3" s="11"/>
      <c r="P3" s="11"/>
    </row>
    <row r="4" spans="1:16" x14ac:dyDescent="0.25">
      <c r="B4" t="s">
        <v>106</v>
      </c>
      <c r="C4" t="s">
        <v>89</v>
      </c>
      <c r="D4" t="s">
        <v>125</v>
      </c>
      <c r="E4" t="s">
        <v>126</v>
      </c>
      <c r="F4">
        <v>5069</v>
      </c>
      <c r="G4">
        <v>3.2899999999999999E-2</v>
      </c>
      <c r="H4">
        <v>2.85</v>
      </c>
      <c r="I4" s="2" t="s">
        <v>56</v>
      </c>
      <c r="O4" s="11"/>
      <c r="P4" s="11"/>
    </row>
    <row r="5" spans="1:16" x14ac:dyDescent="0.25">
      <c r="B5" t="s">
        <v>106</v>
      </c>
      <c r="C5" t="s">
        <v>28</v>
      </c>
      <c r="D5" t="s">
        <v>88</v>
      </c>
      <c r="E5" t="s">
        <v>12</v>
      </c>
      <c r="F5">
        <v>73</v>
      </c>
      <c r="G5">
        <v>2.86E-2</v>
      </c>
      <c r="H5">
        <v>2.9209999999999998</v>
      </c>
      <c r="I5" s="2" t="s">
        <v>49</v>
      </c>
    </row>
    <row r="6" spans="1:16" x14ac:dyDescent="0.25">
      <c r="B6" t="s">
        <v>106</v>
      </c>
      <c r="C6" t="s">
        <v>28</v>
      </c>
      <c r="D6" t="s">
        <v>92</v>
      </c>
      <c r="E6" t="s">
        <v>13</v>
      </c>
      <c r="F6">
        <v>1764</v>
      </c>
      <c r="G6">
        <v>3.0200000000000001E-2</v>
      </c>
      <c r="H6">
        <v>2.99</v>
      </c>
      <c r="I6" s="2" t="s">
        <v>49</v>
      </c>
    </row>
    <row r="7" spans="1:16" x14ac:dyDescent="0.25">
      <c r="B7" t="s">
        <v>106</v>
      </c>
      <c r="C7" t="s">
        <v>28</v>
      </c>
      <c r="D7" t="s">
        <v>91</v>
      </c>
      <c r="E7" t="s">
        <v>127</v>
      </c>
      <c r="F7">
        <v>3715</v>
      </c>
      <c r="G7">
        <v>2.29E-2</v>
      </c>
      <c r="H7">
        <v>3</v>
      </c>
      <c r="I7" s="2" t="s">
        <v>56</v>
      </c>
      <c r="O7" s="11"/>
      <c r="P7" s="11"/>
    </row>
    <row r="8" spans="1:16" x14ac:dyDescent="0.25">
      <c r="B8" t="s">
        <v>106</v>
      </c>
      <c r="C8" t="s">
        <v>27</v>
      </c>
      <c r="D8" t="s">
        <v>123</v>
      </c>
      <c r="E8" t="s">
        <v>124</v>
      </c>
      <c r="F8">
        <v>114</v>
      </c>
      <c r="G8">
        <v>3.39E-2</v>
      </c>
      <c r="H8">
        <v>2.86</v>
      </c>
      <c r="I8" s="2" t="s">
        <v>56</v>
      </c>
      <c r="O8" s="11"/>
      <c r="P8" s="11"/>
    </row>
    <row r="9" spans="1:16" x14ac:dyDescent="0.25">
      <c r="B9" t="s">
        <v>107</v>
      </c>
      <c r="C9" t="s">
        <v>93</v>
      </c>
      <c r="D9" t="s">
        <v>94</v>
      </c>
      <c r="E9" t="s">
        <v>14</v>
      </c>
      <c r="F9">
        <v>227</v>
      </c>
      <c r="G9">
        <v>0.1096</v>
      </c>
      <c r="H9">
        <v>2.36</v>
      </c>
      <c r="I9" s="2" t="s">
        <v>49</v>
      </c>
    </row>
    <row r="10" spans="1:16" x14ac:dyDescent="0.25">
      <c r="B10" t="s">
        <v>107</v>
      </c>
      <c r="C10" t="s">
        <v>22</v>
      </c>
      <c r="D10" t="s">
        <v>23</v>
      </c>
      <c r="E10" t="s">
        <v>15</v>
      </c>
      <c r="F10">
        <v>200</v>
      </c>
      <c r="G10">
        <v>6.9199999999999998E-2</v>
      </c>
      <c r="H10">
        <v>2.84</v>
      </c>
      <c r="I10" s="2" t="s">
        <v>50</v>
      </c>
    </row>
    <row r="11" spans="1:16" x14ac:dyDescent="0.25">
      <c r="B11" t="s">
        <v>108</v>
      </c>
      <c r="C11" t="s">
        <v>26</v>
      </c>
      <c r="D11" t="s">
        <v>87</v>
      </c>
      <c r="E11" t="s">
        <v>16</v>
      </c>
      <c r="F11">
        <v>89</v>
      </c>
      <c r="G11">
        <v>6.9260000000000002E-2</v>
      </c>
      <c r="H11">
        <v>2.6219999999999999</v>
      </c>
      <c r="I11" s="2" t="s">
        <v>56</v>
      </c>
    </row>
    <row r="12" spans="1:16" x14ac:dyDescent="0.25">
      <c r="B12" t="s">
        <v>108</v>
      </c>
      <c r="C12" t="s">
        <v>26</v>
      </c>
      <c r="D12" t="s">
        <v>85</v>
      </c>
      <c r="E12" t="s">
        <v>86</v>
      </c>
      <c r="F12">
        <v>444</v>
      </c>
      <c r="G12">
        <v>6.6369999999999998E-2</v>
      </c>
      <c r="H12">
        <v>2.6930000000000001</v>
      </c>
      <c r="I12" s="2" t="s">
        <v>56</v>
      </c>
    </row>
    <row r="13" spans="1:16" x14ac:dyDescent="0.25">
      <c r="B13" t="s">
        <v>108</v>
      </c>
      <c r="C13" t="s">
        <v>26</v>
      </c>
      <c r="D13" t="s">
        <v>84</v>
      </c>
      <c r="E13" t="s">
        <v>17</v>
      </c>
      <c r="F13">
        <v>320</v>
      </c>
      <c r="G13">
        <v>3.2399999999999998E-2</v>
      </c>
      <c r="H13">
        <v>2.92</v>
      </c>
      <c r="I13" s="2" t="s">
        <v>56</v>
      </c>
    </row>
    <row r="14" spans="1:16" x14ac:dyDescent="0.25">
      <c r="B14" t="s">
        <v>108</v>
      </c>
      <c r="C14" t="s">
        <v>26</v>
      </c>
      <c r="D14" t="s">
        <v>82</v>
      </c>
      <c r="E14" t="s">
        <v>18</v>
      </c>
      <c r="F14">
        <v>35</v>
      </c>
      <c r="G14">
        <v>3.4700000000000002E-2</v>
      </c>
      <c r="H14">
        <v>2.86</v>
      </c>
      <c r="I14" s="2" t="s">
        <v>56</v>
      </c>
    </row>
    <row r="15" spans="1:16" x14ac:dyDescent="0.25">
      <c r="B15" t="s">
        <v>108</v>
      </c>
      <c r="C15" t="s">
        <v>26</v>
      </c>
      <c r="D15" t="s">
        <v>83</v>
      </c>
      <c r="E15" t="s">
        <v>19</v>
      </c>
      <c r="F15">
        <v>597</v>
      </c>
      <c r="G15">
        <v>2.5700000000000001E-2</v>
      </c>
      <c r="H15">
        <v>3.1</v>
      </c>
      <c r="I15" s="2" t="s">
        <v>49</v>
      </c>
    </row>
    <row r="16" spans="1:16" x14ac:dyDescent="0.25">
      <c r="B16" t="s">
        <v>108</v>
      </c>
      <c r="C16" t="s">
        <v>79</v>
      </c>
      <c r="D16" t="s">
        <v>80</v>
      </c>
      <c r="E16" t="s">
        <v>81</v>
      </c>
      <c r="F16">
        <v>92</v>
      </c>
      <c r="G16">
        <v>9.4999999999999998E-3</v>
      </c>
      <c r="H16">
        <v>3.32</v>
      </c>
      <c r="I16" s="2" t="s">
        <v>105</v>
      </c>
    </row>
    <row r="17" spans="2:9" x14ac:dyDescent="0.25">
      <c r="B17" t="s">
        <v>109</v>
      </c>
      <c r="C17" t="s">
        <v>24</v>
      </c>
      <c r="D17" t="s">
        <v>25</v>
      </c>
      <c r="E17" t="s">
        <v>42</v>
      </c>
      <c r="F17">
        <v>18</v>
      </c>
      <c r="G17">
        <v>1.2E-2</v>
      </c>
      <c r="H17">
        <v>3.08</v>
      </c>
      <c r="I17" s="2" t="s">
        <v>49</v>
      </c>
    </row>
    <row r="18" spans="2:9" x14ac:dyDescent="0.25">
      <c r="B18" t="s">
        <v>109</v>
      </c>
      <c r="C18" t="s">
        <v>24</v>
      </c>
      <c r="D18" t="s">
        <v>77</v>
      </c>
      <c r="E18" t="s">
        <v>78</v>
      </c>
      <c r="F18" s="10">
        <v>1</v>
      </c>
      <c r="G18">
        <v>3.5499999999999997E-2</v>
      </c>
      <c r="H18">
        <v>2.875</v>
      </c>
      <c r="I18" s="2" t="s">
        <v>49</v>
      </c>
    </row>
    <row r="19" spans="2:9" x14ac:dyDescent="0.25">
      <c r="B19" t="s">
        <v>109</v>
      </c>
      <c r="C19" t="s">
        <v>39</v>
      </c>
      <c r="D19" t="s">
        <v>40</v>
      </c>
      <c r="E19" t="s">
        <v>41</v>
      </c>
      <c r="F19">
        <v>22</v>
      </c>
      <c r="G19">
        <v>3.09E-2</v>
      </c>
      <c r="H19">
        <v>3.11</v>
      </c>
      <c r="I19" s="2" t="s">
        <v>50</v>
      </c>
    </row>
    <row r="20" spans="2:9" x14ac:dyDescent="0.25">
      <c r="B20" t="s">
        <v>109</v>
      </c>
      <c r="C20" t="s">
        <v>95</v>
      </c>
      <c r="D20" t="s">
        <v>96</v>
      </c>
      <c r="E20" t="s">
        <v>97</v>
      </c>
      <c r="F20">
        <v>179</v>
      </c>
      <c r="G20">
        <v>4.2700000000000002E-2</v>
      </c>
      <c r="H20">
        <v>2.78</v>
      </c>
      <c r="I20" s="2" t="s">
        <v>56</v>
      </c>
    </row>
    <row r="21" spans="2:9" x14ac:dyDescent="0.25">
      <c r="B21" t="s">
        <v>109</v>
      </c>
      <c r="C21" t="s">
        <v>43</v>
      </c>
      <c r="D21" t="s">
        <v>37</v>
      </c>
      <c r="E21" t="s">
        <v>44</v>
      </c>
      <c r="F21">
        <v>13</v>
      </c>
      <c r="G21">
        <v>4.3799999999999999E-2</v>
      </c>
      <c r="H21">
        <v>2.91</v>
      </c>
      <c r="I21" s="2" t="s">
        <v>50</v>
      </c>
    </row>
    <row r="22" spans="2:9" x14ac:dyDescent="0.25">
      <c r="B22" t="s">
        <v>20</v>
      </c>
      <c r="C22" t="s">
        <v>32</v>
      </c>
      <c r="D22" t="s">
        <v>21</v>
      </c>
      <c r="E22" t="s">
        <v>98</v>
      </c>
      <c r="F22">
        <v>3970</v>
      </c>
      <c r="G22">
        <v>4.8999999999999998E-3</v>
      </c>
      <c r="H22">
        <v>3.26</v>
      </c>
      <c r="I22" s="2" t="s">
        <v>49</v>
      </c>
    </row>
    <row r="23" spans="2:9" x14ac:dyDescent="0.25">
      <c r="B23" t="s">
        <v>110</v>
      </c>
      <c r="C23" t="s">
        <v>34</v>
      </c>
      <c r="D23" t="s">
        <v>36</v>
      </c>
      <c r="E23" t="s">
        <v>30</v>
      </c>
      <c r="F23">
        <v>707</v>
      </c>
      <c r="G23">
        <v>3.39E-2</v>
      </c>
      <c r="H23">
        <v>2.91</v>
      </c>
      <c r="I23" s="2" t="s">
        <v>56</v>
      </c>
    </row>
    <row r="24" spans="2:9" x14ac:dyDescent="0.25">
      <c r="B24" t="s">
        <v>110</v>
      </c>
      <c r="C24" t="s">
        <v>34</v>
      </c>
      <c r="D24" t="s">
        <v>35</v>
      </c>
      <c r="E24" t="s">
        <v>31</v>
      </c>
      <c r="F24">
        <v>1825</v>
      </c>
      <c r="G24">
        <v>3.1600000000000003E-2</v>
      </c>
      <c r="H24">
        <v>2.92</v>
      </c>
      <c r="I24" s="2" t="s">
        <v>56</v>
      </c>
    </row>
    <row r="25" spans="2:9" x14ac:dyDescent="0.25">
      <c r="B25" t="s">
        <v>111</v>
      </c>
      <c r="C25" t="s">
        <v>69</v>
      </c>
      <c r="D25" t="s">
        <v>70</v>
      </c>
      <c r="E25" t="s">
        <v>71</v>
      </c>
      <c r="F25">
        <v>264</v>
      </c>
      <c r="G25">
        <v>2.0899999999999998E-2</v>
      </c>
      <c r="H25">
        <v>3.12</v>
      </c>
      <c r="I25" s="2" t="s">
        <v>49</v>
      </c>
    </row>
    <row r="26" spans="2:9" x14ac:dyDescent="0.25">
      <c r="B26" t="s">
        <v>111</v>
      </c>
      <c r="C26" t="s">
        <v>72</v>
      </c>
      <c r="D26" t="s">
        <v>73</v>
      </c>
      <c r="E26" t="s">
        <v>74</v>
      </c>
      <c r="F26">
        <v>334</v>
      </c>
      <c r="G26">
        <v>3.0200000000000001E-2</v>
      </c>
      <c r="H26">
        <v>2.87</v>
      </c>
      <c r="I26" s="2" t="s">
        <v>56</v>
      </c>
    </row>
    <row r="27" spans="2:9" x14ac:dyDescent="0.25">
      <c r="B27" t="s">
        <v>111</v>
      </c>
      <c r="C27" t="s">
        <v>72</v>
      </c>
      <c r="D27" t="s">
        <v>75</v>
      </c>
      <c r="E27" t="s">
        <v>76</v>
      </c>
      <c r="F27">
        <v>133</v>
      </c>
      <c r="G27">
        <v>3.6999999999999998E-2</v>
      </c>
      <c r="H27">
        <v>2.63</v>
      </c>
      <c r="I27" s="2" t="s">
        <v>49</v>
      </c>
    </row>
    <row r="28" spans="2:9" x14ac:dyDescent="0.25">
      <c r="B28" t="s">
        <v>45</v>
      </c>
      <c r="C28" t="s">
        <v>48</v>
      </c>
      <c r="D28" t="s">
        <v>47</v>
      </c>
      <c r="E28" t="s">
        <v>46</v>
      </c>
      <c r="F28">
        <v>30</v>
      </c>
      <c r="G28">
        <v>0.53200000000000003</v>
      </c>
      <c r="H28">
        <v>2.2759999999999998</v>
      </c>
      <c r="I28" s="2" t="s">
        <v>49</v>
      </c>
    </row>
    <row r="29" spans="2:9" x14ac:dyDescent="0.25">
      <c r="B29" t="s">
        <v>112</v>
      </c>
      <c r="C29" t="s">
        <v>51</v>
      </c>
      <c r="D29" t="s">
        <v>33</v>
      </c>
      <c r="E29" t="s">
        <v>52</v>
      </c>
      <c r="F29">
        <v>1002</v>
      </c>
      <c r="G29">
        <v>0.18</v>
      </c>
      <c r="H29">
        <v>2.1509999999999998</v>
      </c>
      <c r="I29" s="2" t="s">
        <v>50</v>
      </c>
    </row>
    <row r="30" spans="2:9" x14ac:dyDescent="0.25">
      <c r="B30" t="s">
        <v>113</v>
      </c>
      <c r="C30" t="s">
        <v>53</v>
      </c>
      <c r="D30" t="s">
        <v>54</v>
      </c>
      <c r="E30" t="s">
        <v>55</v>
      </c>
      <c r="F30">
        <v>32</v>
      </c>
      <c r="G30">
        <v>1.545E-2</v>
      </c>
      <c r="H30">
        <v>3.298</v>
      </c>
      <c r="I30" s="2" t="s">
        <v>56</v>
      </c>
    </row>
    <row r="31" spans="2:9" x14ac:dyDescent="0.25">
      <c r="B31" t="s">
        <v>113</v>
      </c>
      <c r="C31" t="s">
        <v>53</v>
      </c>
      <c r="D31" t="s">
        <v>57</v>
      </c>
      <c r="E31" t="s">
        <v>58</v>
      </c>
      <c r="F31">
        <v>65</v>
      </c>
      <c r="G31">
        <v>1.9699999999999999E-2</v>
      </c>
      <c r="H31">
        <v>3.0680000000000001</v>
      </c>
      <c r="I31" s="2" t="s">
        <v>49</v>
      </c>
    </row>
    <row r="32" spans="2:9" x14ac:dyDescent="0.25">
      <c r="B32" t="s">
        <v>59</v>
      </c>
      <c r="C32" t="s">
        <v>60</v>
      </c>
      <c r="D32" t="s">
        <v>61</v>
      </c>
      <c r="E32" t="s">
        <v>62</v>
      </c>
      <c r="F32">
        <v>77</v>
      </c>
      <c r="G32">
        <v>1.26E-2</v>
      </c>
      <c r="H32">
        <v>3.06</v>
      </c>
      <c r="I32" s="2" t="s">
        <v>56</v>
      </c>
    </row>
    <row r="33" spans="2:9" x14ac:dyDescent="0.25">
      <c r="B33" t="s">
        <v>59</v>
      </c>
      <c r="C33" t="s">
        <v>60</v>
      </c>
      <c r="D33" t="s">
        <v>63</v>
      </c>
      <c r="E33" t="s">
        <v>64</v>
      </c>
      <c r="F33">
        <v>157</v>
      </c>
      <c r="G33">
        <v>1.26E-2</v>
      </c>
      <c r="H33">
        <v>2.8780000000000001</v>
      </c>
      <c r="I33" s="2" t="s">
        <v>49</v>
      </c>
    </row>
    <row r="34" spans="2:9" x14ac:dyDescent="0.25">
      <c r="B34" t="s">
        <v>59</v>
      </c>
      <c r="C34" t="s">
        <v>60</v>
      </c>
      <c r="D34" t="s">
        <v>65</v>
      </c>
      <c r="E34" t="s">
        <v>66</v>
      </c>
      <c r="F34">
        <v>178</v>
      </c>
      <c r="G34">
        <v>2.4E-2</v>
      </c>
      <c r="H34">
        <v>2.82</v>
      </c>
      <c r="I34" s="2" t="s">
        <v>56</v>
      </c>
    </row>
    <row r="35" spans="2:9" x14ac:dyDescent="0.25">
      <c r="B35" t="s">
        <v>59</v>
      </c>
      <c r="C35" t="s">
        <v>60</v>
      </c>
      <c r="D35" t="s">
        <v>67</v>
      </c>
      <c r="E35" t="s">
        <v>68</v>
      </c>
      <c r="F35">
        <v>171</v>
      </c>
      <c r="G35">
        <v>1.35E-2</v>
      </c>
      <c r="H35">
        <v>3.04</v>
      </c>
      <c r="I35" s="2" t="s">
        <v>49</v>
      </c>
    </row>
    <row r="36" spans="2:9" x14ac:dyDescent="0.25">
      <c r="B36" t="s">
        <v>118</v>
      </c>
      <c r="C36" t="e">
        <f>NA()</f>
        <v>#N/A</v>
      </c>
      <c r="D36" t="e">
        <f>NA()</f>
        <v>#N/A</v>
      </c>
      <c r="E36" t="s">
        <v>119</v>
      </c>
      <c r="F36">
        <v>0</v>
      </c>
      <c r="G36">
        <v>0</v>
      </c>
      <c r="H36">
        <v>0</v>
      </c>
      <c r="I36" s="2"/>
    </row>
    <row r="42" spans="2:9" x14ac:dyDescent="0.25">
      <c r="B42" t="s">
        <v>114</v>
      </c>
    </row>
    <row r="43" spans="2:9" x14ac:dyDescent="0.25">
      <c r="B43" t="s">
        <v>118</v>
      </c>
    </row>
    <row r="44" spans="2:9" x14ac:dyDescent="0.25">
      <c r="B44" t="s">
        <v>106</v>
      </c>
    </row>
    <row r="45" spans="2:9" x14ac:dyDescent="0.25">
      <c r="B45" t="s">
        <v>107</v>
      </c>
    </row>
    <row r="46" spans="2:9" x14ac:dyDescent="0.25">
      <c r="B46" t="s">
        <v>108</v>
      </c>
    </row>
    <row r="47" spans="2:9" x14ac:dyDescent="0.25">
      <c r="B47" t="s">
        <v>109</v>
      </c>
    </row>
    <row r="48" spans="2:9" x14ac:dyDescent="0.25">
      <c r="B48" t="s">
        <v>20</v>
      </c>
    </row>
    <row r="49" spans="2:2" x14ac:dyDescent="0.25">
      <c r="B49" t="s">
        <v>110</v>
      </c>
    </row>
    <row r="50" spans="2:2" x14ac:dyDescent="0.25">
      <c r="B50" t="s">
        <v>111</v>
      </c>
    </row>
    <row r="51" spans="2:2" x14ac:dyDescent="0.25">
      <c r="B51" t="s">
        <v>45</v>
      </c>
    </row>
    <row r="52" spans="2:2" x14ac:dyDescent="0.25">
      <c r="B52" t="s">
        <v>112</v>
      </c>
    </row>
    <row r="53" spans="2:2" x14ac:dyDescent="0.25">
      <c r="B53" t="s">
        <v>113</v>
      </c>
    </row>
    <row r="54" spans="2:2" x14ac:dyDescent="0.25">
      <c r="B54" t="s">
        <v>59</v>
      </c>
    </row>
  </sheetData>
  <sheetProtection password="CD6C" sheet="1" objects="1" scenarios="1"/>
  <dataConsolidate link="1"/>
  <pageMargins left="0.7" right="0.7" top="0.75" bottom="0.75" header="0.3" footer="0.3"/>
  <pageSetup scale="78"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9D040-7F54-403C-A65F-ED31B4DD71AF}">
  <dimension ref="A1:AF70"/>
  <sheetViews>
    <sheetView topLeftCell="B1" workbookViewId="0">
      <selection activeCell="AA4" sqref="AA4"/>
    </sheetView>
  </sheetViews>
  <sheetFormatPr defaultRowHeight="15" x14ac:dyDescent="0.25"/>
  <sheetData>
    <row r="1" spans="1:32" ht="15.75" thickBot="1" x14ac:dyDescent="0.3"/>
    <row r="2" spans="1:32" ht="15.75" thickBot="1" x14ac:dyDescent="0.3">
      <c r="B2" s="428" t="s">
        <v>324</v>
      </c>
      <c r="C2" s="429"/>
      <c r="D2" s="429"/>
      <c r="E2" s="430"/>
      <c r="F2" t="s">
        <v>325</v>
      </c>
      <c r="J2" s="314" t="s">
        <v>328</v>
      </c>
      <c r="K2" s="315"/>
      <c r="L2" s="316"/>
      <c r="M2" s="436" t="s">
        <v>340</v>
      </c>
      <c r="N2" s="437"/>
      <c r="P2" s="425" t="s">
        <v>316</v>
      </c>
      <c r="Q2" s="426"/>
      <c r="R2" s="426"/>
      <c r="S2" s="427"/>
      <c r="U2" s="425" t="s">
        <v>317</v>
      </c>
      <c r="V2" s="426"/>
      <c r="W2" s="426"/>
      <c r="X2" s="427"/>
      <c r="Z2" s="32"/>
      <c r="AA2" s="32"/>
      <c r="AB2" s="32"/>
      <c r="AC2" s="32"/>
      <c r="AD2" s="296"/>
      <c r="AE2" s="32"/>
      <c r="AF2" s="32"/>
    </row>
    <row r="3" spans="1:32" ht="15.75" thickBot="1" x14ac:dyDescent="0.3">
      <c r="B3" s="431"/>
      <c r="C3" s="415"/>
      <c r="D3" s="415"/>
      <c r="E3" s="432"/>
      <c r="F3" t="s">
        <v>326</v>
      </c>
      <c r="J3" s="237"/>
      <c r="L3" s="269"/>
      <c r="M3" s="339" t="s">
        <v>318</v>
      </c>
      <c r="N3" s="340">
        <v>25</v>
      </c>
      <c r="P3" s="320" t="s">
        <v>338</v>
      </c>
      <c r="Q3" s="325">
        <f>IF(N4="F",(N3-32)/9*5,N3)</f>
        <v>25</v>
      </c>
      <c r="R3" s="326" t="s">
        <v>293</v>
      </c>
      <c r="S3" s="301" t="e">
        <f>LOOKUP(Q3,B7:X7,B5:X5)</f>
        <v>#N/A</v>
      </c>
      <c r="U3" s="321" t="str">
        <f>P3</f>
        <v>Temp C</v>
      </c>
      <c r="V3" s="327">
        <f>Q3</f>
        <v>25</v>
      </c>
      <c r="W3" s="326" t="s">
        <v>293</v>
      </c>
      <c r="X3" s="328">
        <f>'Salinity Calculations'!F4</f>
        <v>0</v>
      </c>
      <c r="Z3" s="32"/>
      <c r="AA3" s="32"/>
      <c r="AB3" s="32"/>
      <c r="AC3" s="283"/>
      <c r="AD3" s="32"/>
      <c r="AE3" s="32"/>
      <c r="AF3" s="32"/>
    </row>
    <row r="4" spans="1:32" ht="16.5" thickTop="1" thickBot="1" x14ac:dyDescent="0.3">
      <c r="B4" s="433"/>
      <c r="C4" s="434"/>
      <c r="D4" s="434"/>
      <c r="E4" s="435"/>
      <c r="F4" t="s">
        <v>327</v>
      </c>
      <c r="J4" s="317" t="s">
        <v>329</v>
      </c>
      <c r="K4" s="318"/>
      <c r="L4" s="319"/>
      <c r="M4" s="339" t="s">
        <v>337</v>
      </c>
      <c r="N4" s="341" t="s">
        <v>341</v>
      </c>
      <c r="P4" s="321" t="s">
        <v>319</v>
      </c>
      <c r="Q4" s="322">
        <f>'Salinity Calculations'!F5</f>
        <v>0</v>
      </c>
      <c r="R4" s="302"/>
      <c r="S4" s="239"/>
      <c r="U4" s="323" t="s">
        <v>319</v>
      </c>
      <c r="V4" s="324" t="e">
        <f>INDEX(SG_TEMP_SAL,MATCH(X3,B7:B69),MATCH(V3,B7:X7))</f>
        <v>#N/A</v>
      </c>
      <c r="W4" s="302"/>
      <c r="X4" s="239"/>
      <c r="Z4" s="283"/>
      <c r="AA4" s="32"/>
      <c r="AB4" s="32"/>
      <c r="AC4" s="283"/>
      <c r="AE4" s="32"/>
      <c r="AF4" s="32"/>
    </row>
    <row r="5" spans="1:32" x14ac:dyDescent="0.25">
      <c r="B5" t="s">
        <v>320</v>
      </c>
      <c r="C5" t="e">
        <f t="shared" ref="C5:X5" si="0">LOOKUP($Q$4,C8:C69,$B$8:$B$69)</f>
        <v>#N/A</v>
      </c>
      <c r="D5" t="e">
        <f t="shared" si="0"/>
        <v>#N/A</v>
      </c>
      <c r="E5" t="e">
        <f t="shared" si="0"/>
        <v>#N/A</v>
      </c>
      <c r="F5" t="e">
        <f t="shared" si="0"/>
        <v>#N/A</v>
      </c>
      <c r="G5">
        <f t="shared" si="0"/>
        <v>0.999</v>
      </c>
      <c r="H5" t="e">
        <f t="shared" si="0"/>
        <v>#N/A</v>
      </c>
      <c r="I5" t="e">
        <f t="shared" si="0"/>
        <v>#N/A</v>
      </c>
      <c r="J5" t="e">
        <f t="shared" si="0"/>
        <v>#N/A</v>
      </c>
      <c r="K5" t="e">
        <f t="shared" si="0"/>
        <v>#N/A</v>
      </c>
      <c r="L5" t="e">
        <f t="shared" si="0"/>
        <v>#N/A</v>
      </c>
      <c r="M5" t="e">
        <f t="shared" si="0"/>
        <v>#N/A</v>
      </c>
      <c r="N5" t="e">
        <f t="shared" si="0"/>
        <v>#N/A</v>
      </c>
      <c r="O5" t="e">
        <f t="shared" si="0"/>
        <v>#N/A</v>
      </c>
      <c r="P5" t="e">
        <f t="shared" si="0"/>
        <v>#N/A</v>
      </c>
      <c r="Q5" t="e">
        <f t="shared" si="0"/>
        <v>#N/A</v>
      </c>
      <c r="R5" t="e">
        <f t="shared" si="0"/>
        <v>#N/A</v>
      </c>
      <c r="S5" t="e">
        <f t="shared" si="0"/>
        <v>#N/A</v>
      </c>
      <c r="T5" t="e">
        <f t="shared" si="0"/>
        <v>#N/A</v>
      </c>
      <c r="U5" t="e">
        <f t="shared" si="0"/>
        <v>#N/A</v>
      </c>
      <c r="V5" t="e">
        <f t="shared" si="0"/>
        <v>#N/A</v>
      </c>
      <c r="W5" t="e">
        <f t="shared" si="0"/>
        <v>#N/A</v>
      </c>
      <c r="X5" t="e">
        <f t="shared" si="0"/>
        <v>#N/A</v>
      </c>
      <c r="Z5" s="32"/>
      <c r="AA5" s="32"/>
      <c r="AB5" s="32"/>
      <c r="AC5" s="32"/>
      <c r="AD5" s="32"/>
      <c r="AE5" s="32"/>
      <c r="AF5" s="32"/>
    </row>
    <row r="6" spans="1:32" ht="15.75" thickBot="1" x14ac:dyDescent="0.3">
      <c r="B6" t="s">
        <v>321</v>
      </c>
      <c r="C6" s="303">
        <f>C7*(9/5)+32</f>
        <v>67.099999999999994</v>
      </c>
      <c r="D6" s="303">
        <f t="shared" ref="D6:X6" si="1">D7*(9/5)+32</f>
        <v>68</v>
      </c>
      <c r="E6" s="303">
        <f t="shared" si="1"/>
        <v>68.900000000000006</v>
      </c>
      <c r="F6" s="303">
        <f t="shared" si="1"/>
        <v>69.800000000000011</v>
      </c>
      <c r="G6" s="303">
        <f t="shared" si="1"/>
        <v>70.7</v>
      </c>
      <c r="H6" s="303">
        <f t="shared" si="1"/>
        <v>71.599999999999994</v>
      </c>
      <c r="I6" s="303">
        <f t="shared" si="1"/>
        <v>72.5</v>
      </c>
      <c r="J6" s="303">
        <f t="shared" si="1"/>
        <v>73.400000000000006</v>
      </c>
      <c r="K6" s="303">
        <f t="shared" si="1"/>
        <v>74.300000000000011</v>
      </c>
      <c r="L6" s="303">
        <f t="shared" si="1"/>
        <v>75.2</v>
      </c>
      <c r="M6" s="303">
        <f t="shared" si="1"/>
        <v>76.099999999999994</v>
      </c>
      <c r="N6" s="345">
        <f t="shared" si="1"/>
        <v>77</v>
      </c>
      <c r="O6" s="303">
        <f t="shared" si="1"/>
        <v>77.900000000000006</v>
      </c>
      <c r="P6" s="303">
        <f t="shared" si="1"/>
        <v>78.800000000000011</v>
      </c>
      <c r="Q6" s="303">
        <f t="shared" si="1"/>
        <v>79.7</v>
      </c>
      <c r="R6" s="303">
        <f t="shared" si="1"/>
        <v>80.599999999999994</v>
      </c>
      <c r="S6" s="303">
        <f t="shared" si="1"/>
        <v>81.5</v>
      </c>
      <c r="T6" s="303">
        <f t="shared" si="1"/>
        <v>82.4</v>
      </c>
      <c r="U6" s="303">
        <f t="shared" si="1"/>
        <v>83.300000000000011</v>
      </c>
      <c r="V6" s="303">
        <f t="shared" si="1"/>
        <v>84.2</v>
      </c>
      <c r="W6" s="303">
        <f t="shared" si="1"/>
        <v>85.1</v>
      </c>
      <c r="X6" s="303">
        <f t="shared" si="1"/>
        <v>86</v>
      </c>
      <c r="Z6" s="283"/>
      <c r="AA6" s="32"/>
      <c r="AB6" s="32"/>
      <c r="AC6" s="32"/>
      <c r="AD6" s="298"/>
      <c r="AE6" s="32"/>
      <c r="AF6" s="32"/>
    </row>
    <row r="7" spans="1:32" ht="30" thickTop="1" thickBot="1" x14ac:dyDescent="0.3">
      <c r="B7" s="308" t="s">
        <v>322</v>
      </c>
      <c r="C7" s="309">
        <v>19.5</v>
      </c>
      <c r="D7" s="309">
        <v>20</v>
      </c>
      <c r="E7" s="309">
        <v>20.5</v>
      </c>
      <c r="F7" s="309">
        <v>21</v>
      </c>
      <c r="G7" s="309">
        <v>21.5</v>
      </c>
      <c r="H7" s="309">
        <v>22</v>
      </c>
      <c r="I7" s="309">
        <v>22.5</v>
      </c>
      <c r="J7" s="357">
        <v>23</v>
      </c>
      <c r="K7" s="309">
        <v>23.5</v>
      </c>
      <c r="L7" s="309">
        <v>24</v>
      </c>
      <c r="M7" s="343">
        <v>24.5</v>
      </c>
      <c r="N7" s="346">
        <v>25</v>
      </c>
      <c r="O7" s="309">
        <v>25.5</v>
      </c>
      <c r="P7" s="309">
        <v>26</v>
      </c>
      <c r="Q7" s="309">
        <v>26.5</v>
      </c>
      <c r="R7" s="309">
        <v>27</v>
      </c>
      <c r="S7" s="309">
        <v>27.5</v>
      </c>
      <c r="T7" s="309">
        <v>28</v>
      </c>
      <c r="U7" s="309">
        <v>28.5</v>
      </c>
      <c r="V7" s="309">
        <v>29</v>
      </c>
      <c r="W7" s="309">
        <v>29.5</v>
      </c>
      <c r="X7" s="310">
        <v>30</v>
      </c>
      <c r="Z7" s="283"/>
      <c r="AA7" s="32"/>
      <c r="AB7" s="32"/>
      <c r="AC7" s="32"/>
      <c r="AE7" s="32"/>
      <c r="AF7" s="32"/>
    </row>
    <row r="8" spans="1:32" ht="15.75" thickBot="1" x14ac:dyDescent="0.3">
      <c r="A8" s="303"/>
      <c r="B8" s="359">
        <v>0.998</v>
      </c>
      <c r="C8" s="304" t="s">
        <v>323</v>
      </c>
      <c r="D8" s="304" t="s">
        <v>323</v>
      </c>
      <c r="E8" s="304" t="s">
        <v>323</v>
      </c>
      <c r="F8" s="304" t="s">
        <v>323</v>
      </c>
      <c r="G8" s="304" t="s">
        <v>323</v>
      </c>
      <c r="H8" s="304" t="s">
        <v>323</v>
      </c>
      <c r="I8" s="304" t="s">
        <v>323</v>
      </c>
      <c r="J8" s="358" t="s">
        <v>323</v>
      </c>
      <c r="K8" s="304" t="s">
        <v>323</v>
      </c>
      <c r="L8" s="304" t="s">
        <v>323</v>
      </c>
      <c r="M8" s="344" t="s">
        <v>323</v>
      </c>
      <c r="N8" s="346" t="s">
        <v>323</v>
      </c>
      <c r="O8" s="304" t="s">
        <v>323</v>
      </c>
      <c r="P8" s="304" t="s">
        <v>323</v>
      </c>
      <c r="Q8" s="304">
        <v>0.1</v>
      </c>
      <c r="R8" s="304">
        <v>0.2</v>
      </c>
      <c r="S8" s="304">
        <v>0.3</v>
      </c>
      <c r="T8" s="304">
        <v>0.6</v>
      </c>
      <c r="U8" s="304">
        <v>0.7</v>
      </c>
      <c r="V8" s="304">
        <v>0.8</v>
      </c>
      <c r="W8" s="304">
        <v>1.1000000000000001</v>
      </c>
      <c r="X8" s="311">
        <v>1.2</v>
      </c>
      <c r="Z8" s="32"/>
      <c r="AA8" s="32"/>
      <c r="AB8" s="32"/>
      <c r="AC8" s="32"/>
      <c r="AE8" s="32"/>
      <c r="AF8" s="32"/>
    </row>
    <row r="9" spans="1:32" ht="15.75" thickBot="1" x14ac:dyDescent="0.3">
      <c r="A9" s="303"/>
      <c r="B9" s="359">
        <v>0.999</v>
      </c>
      <c r="C9" s="304" t="s">
        <v>323</v>
      </c>
      <c r="D9" s="304" t="s">
        <v>323</v>
      </c>
      <c r="E9" s="304" t="s">
        <v>323</v>
      </c>
      <c r="F9" s="304" t="s">
        <v>323</v>
      </c>
      <c r="G9" s="304">
        <v>0</v>
      </c>
      <c r="H9" s="304">
        <v>0.1</v>
      </c>
      <c r="I9" s="304">
        <v>0.2</v>
      </c>
      <c r="J9" s="358">
        <v>0.3</v>
      </c>
      <c r="K9" s="304">
        <v>0.5</v>
      </c>
      <c r="L9" s="304">
        <v>0.6</v>
      </c>
      <c r="M9" s="344">
        <v>0.7</v>
      </c>
      <c r="N9" s="346">
        <v>0.8</v>
      </c>
      <c r="O9" s="304">
        <v>1</v>
      </c>
      <c r="P9" s="304">
        <v>1.2</v>
      </c>
      <c r="Q9" s="304">
        <v>1.4</v>
      </c>
      <c r="R9" s="304">
        <v>1.5</v>
      </c>
      <c r="S9" s="304">
        <v>1.8</v>
      </c>
      <c r="T9" s="304">
        <v>1.9</v>
      </c>
      <c r="U9" s="304">
        <v>2</v>
      </c>
      <c r="V9" s="304">
        <v>2.2999999999999998</v>
      </c>
      <c r="W9" s="304">
        <v>2.4</v>
      </c>
      <c r="X9" s="311">
        <v>2.5</v>
      </c>
      <c r="Z9" s="32"/>
      <c r="AA9" s="32"/>
      <c r="AB9" s="32"/>
      <c r="AC9" s="32"/>
      <c r="AE9" s="32"/>
      <c r="AF9" s="32"/>
    </row>
    <row r="10" spans="1:32" ht="15.75" thickBot="1" x14ac:dyDescent="0.3">
      <c r="A10" s="303"/>
      <c r="B10" s="359">
        <v>1</v>
      </c>
      <c r="C10" s="304">
        <v>0.7</v>
      </c>
      <c r="D10" s="304">
        <v>0.8</v>
      </c>
      <c r="E10" s="304">
        <v>1</v>
      </c>
      <c r="F10" s="304">
        <v>1.1000000000000001</v>
      </c>
      <c r="G10" s="304">
        <v>1.2</v>
      </c>
      <c r="H10" s="304">
        <v>1.4</v>
      </c>
      <c r="I10" s="304">
        <v>1.5</v>
      </c>
      <c r="J10" s="358">
        <v>1.6</v>
      </c>
      <c r="K10" s="304">
        <v>1.8</v>
      </c>
      <c r="L10" s="304">
        <v>1.9</v>
      </c>
      <c r="M10" s="344">
        <v>2</v>
      </c>
      <c r="N10" s="346">
        <v>2.1</v>
      </c>
      <c r="O10" s="304">
        <v>2.4</v>
      </c>
      <c r="P10" s="304">
        <v>2.5</v>
      </c>
      <c r="Q10" s="304">
        <v>2.7</v>
      </c>
      <c r="R10" s="304">
        <v>2.9</v>
      </c>
      <c r="S10" s="304">
        <v>3.1</v>
      </c>
      <c r="T10" s="304">
        <v>3.2</v>
      </c>
      <c r="U10" s="304">
        <v>3.4</v>
      </c>
      <c r="V10" s="304">
        <v>3.6</v>
      </c>
      <c r="W10" s="304">
        <v>3.7</v>
      </c>
      <c r="X10" s="311">
        <v>4</v>
      </c>
      <c r="Z10" s="283"/>
      <c r="AA10" s="32"/>
      <c r="AB10" s="32"/>
      <c r="AC10" s="32"/>
      <c r="AE10" s="32"/>
      <c r="AF10" s="32"/>
    </row>
    <row r="11" spans="1:32" ht="15.75" thickBot="1" x14ac:dyDescent="0.3">
      <c r="A11" s="303"/>
      <c r="B11" s="359">
        <v>1.0009999999999999</v>
      </c>
      <c r="C11" s="304">
        <v>2</v>
      </c>
      <c r="D11" s="304">
        <v>2.1</v>
      </c>
      <c r="E11" s="304">
        <v>2.2999999999999998</v>
      </c>
      <c r="F11" s="304">
        <v>2.4</v>
      </c>
      <c r="G11" s="304">
        <v>2.5</v>
      </c>
      <c r="H11" s="304">
        <v>2.5</v>
      </c>
      <c r="I11" s="304">
        <v>2.7</v>
      </c>
      <c r="J11" s="358">
        <v>2.8</v>
      </c>
      <c r="K11" s="304">
        <v>2.9</v>
      </c>
      <c r="L11" s="304">
        <v>3.1</v>
      </c>
      <c r="M11" s="344">
        <v>3.2</v>
      </c>
      <c r="N11" s="346">
        <v>3.4</v>
      </c>
      <c r="O11" s="304">
        <v>3.6</v>
      </c>
      <c r="P11" s="304">
        <v>3.8</v>
      </c>
      <c r="Q11" s="304">
        <v>4</v>
      </c>
      <c r="R11" s="304">
        <v>4.2</v>
      </c>
      <c r="S11" s="304">
        <v>4.4000000000000004</v>
      </c>
      <c r="T11" s="304">
        <v>4.5</v>
      </c>
      <c r="U11" s="304">
        <v>4.8</v>
      </c>
      <c r="V11" s="304">
        <v>4.9000000000000004</v>
      </c>
      <c r="W11" s="304">
        <v>5.0999999999999996</v>
      </c>
      <c r="X11" s="311">
        <v>5.0999999999999996</v>
      </c>
      <c r="Z11" s="32"/>
      <c r="AA11" s="32"/>
      <c r="AB11" s="32"/>
      <c r="AC11" s="32"/>
      <c r="AD11" s="32"/>
      <c r="AE11" s="32"/>
      <c r="AF11" s="32"/>
    </row>
    <row r="12" spans="1:32" ht="15.75" thickBot="1" x14ac:dyDescent="0.3">
      <c r="A12" s="303"/>
      <c r="B12" s="359">
        <v>1.002</v>
      </c>
      <c r="C12" s="304">
        <v>3.3</v>
      </c>
      <c r="D12" s="304">
        <v>3.4</v>
      </c>
      <c r="E12" s="304">
        <v>3.6</v>
      </c>
      <c r="F12" s="304">
        <v>3.7</v>
      </c>
      <c r="G12" s="304">
        <v>3.8</v>
      </c>
      <c r="H12" s="304">
        <v>4</v>
      </c>
      <c r="I12" s="304">
        <v>4.0999999999999996</v>
      </c>
      <c r="J12" s="358">
        <v>4.2</v>
      </c>
      <c r="K12" s="304">
        <v>4.4000000000000004</v>
      </c>
      <c r="L12" s="304">
        <v>4.5999999999999996</v>
      </c>
      <c r="M12" s="344">
        <v>4.8</v>
      </c>
      <c r="N12" s="346">
        <v>4.9000000000000004</v>
      </c>
      <c r="O12" s="304">
        <v>5</v>
      </c>
      <c r="P12" s="304">
        <v>5.0999999999999996</v>
      </c>
      <c r="Q12" s="304">
        <v>5.4</v>
      </c>
      <c r="R12" s="304">
        <v>5.5</v>
      </c>
      <c r="S12" s="304">
        <v>5.7</v>
      </c>
      <c r="T12" s="304">
        <v>5.9</v>
      </c>
      <c r="U12" s="304">
        <v>6.1</v>
      </c>
      <c r="V12" s="304">
        <v>6.3</v>
      </c>
      <c r="W12" s="304">
        <v>6.4</v>
      </c>
      <c r="X12" s="311">
        <v>6.6</v>
      </c>
      <c r="Z12" s="32"/>
      <c r="AA12" s="32"/>
      <c r="AB12" s="32"/>
      <c r="AC12" s="32"/>
      <c r="AD12" s="32"/>
      <c r="AE12" s="32"/>
      <c r="AF12" s="32"/>
    </row>
    <row r="13" spans="1:32" ht="15.75" thickBot="1" x14ac:dyDescent="0.3">
      <c r="A13" s="303"/>
      <c r="B13" s="359">
        <v>1.0029999999999999</v>
      </c>
      <c r="C13" s="304">
        <v>4.5999999999999996</v>
      </c>
      <c r="D13" s="304">
        <v>4.8</v>
      </c>
      <c r="E13" s="304">
        <v>4.9000000000000004</v>
      </c>
      <c r="F13" s="304">
        <v>5</v>
      </c>
      <c r="G13" s="304">
        <v>5.0999999999999996</v>
      </c>
      <c r="H13" s="304">
        <v>5.3</v>
      </c>
      <c r="I13" s="304">
        <v>5.4</v>
      </c>
      <c r="J13" s="358">
        <v>5.5</v>
      </c>
      <c r="K13" s="304">
        <v>5.8</v>
      </c>
      <c r="L13" s="304">
        <v>5.9</v>
      </c>
      <c r="M13" s="344">
        <v>6.1</v>
      </c>
      <c r="N13" s="346">
        <v>6.2</v>
      </c>
      <c r="O13" s="304">
        <v>6.3</v>
      </c>
      <c r="P13" s="304">
        <v>6.6</v>
      </c>
      <c r="Q13" s="304">
        <v>6.7</v>
      </c>
      <c r="R13" s="304">
        <v>6.8</v>
      </c>
      <c r="S13" s="304">
        <v>7.1</v>
      </c>
      <c r="T13" s="304">
        <v>7.2</v>
      </c>
      <c r="U13" s="304">
        <v>7.4</v>
      </c>
      <c r="V13" s="304">
        <v>7.6</v>
      </c>
      <c r="W13" s="304">
        <v>7.7</v>
      </c>
      <c r="X13" s="311">
        <v>8</v>
      </c>
    </row>
    <row r="14" spans="1:32" ht="15.75" thickBot="1" x14ac:dyDescent="0.3">
      <c r="A14" s="303"/>
      <c r="B14" s="359">
        <v>1.004</v>
      </c>
      <c r="C14" s="304">
        <v>5.9</v>
      </c>
      <c r="D14" s="304">
        <v>6.1</v>
      </c>
      <c r="E14" s="304">
        <v>6.2</v>
      </c>
      <c r="F14" s="304">
        <v>6.3</v>
      </c>
      <c r="G14" s="304">
        <v>6.4</v>
      </c>
      <c r="H14" s="304">
        <v>6.6</v>
      </c>
      <c r="I14" s="304">
        <v>6.7</v>
      </c>
      <c r="J14" s="358">
        <v>7</v>
      </c>
      <c r="K14" s="304">
        <v>7.1</v>
      </c>
      <c r="L14" s="304">
        <v>7.2</v>
      </c>
      <c r="M14" s="344">
        <v>7.4</v>
      </c>
      <c r="N14" s="346">
        <v>7.5</v>
      </c>
      <c r="O14" s="304">
        <v>7.7</v>
      </c>
      <c r="P14" s="304">
        <v>7.9</v>
      </c>
      <c r="Q14" s="304">
        <v>8</v>
      </c>
      <c r="R14" s="304">
        <v>8.3000000000000007</v>
      </c>
      <c r="S14" s="304">
        <v>8.4</v>
      </c>
      <c r="T14" s="304">
        <v>8.5</v>
      </c>
      <c r="U14" s="304">
        <v>8.8000000000000007</v>
      </c>
      <c r="V14" s="304">
        <v>8.9</v>
      </c>
      <c r="W14" s="304">
        <v>9.1999999999999993</v>
      </c>
      <c r="X14" s="311">
        <v>9.3000000000000007</v>
      </c>
    </row>
    <row r="15" spans="1:32" ht="15.75" thickBot="1" x14ac:dyDescent="0.3">
      <c r="A15" s="303"/>
      <c r="B15" s="359">
        <v>1.0049999999999999</v>
      </c>
      <c r="C15" s="304">
        <v>7.2</v>
      </c>
      <c r="D15" s="304">
        <v>7.4</v>
      </c>
      <c r="E15" s="304">
        <v>7.5</v>
      </c>
      <c r="F15" s="304">
        <v>7.6</v>
      </c>
      <c r="G15" s="304">
        <v>7.7</v>
      </c>
      <c r="H15" s="304">
        <v>7.9</v>
      </c>
      <c r="I15" s="304">
        <v>8.1</v>
      </c>
      <c r="J15" s="358">
        <v>8.3000000000000007</v>
      </c>
      <c r="K15" s="304">
        <v>8.4</v>
      </c>
      <c r="L15" s="304">
        <v>8.5</v>
      </c>
      <c r="M15" s="344">
        <v>8.6999999999999993</v>
      </c>
      <c r="N15" s="346">
        <v>8.9</v>
      </c>
      <c r="O15" s="304">
        <v>9.1</v>
      </c>
      <c r="P15" s="304">
        <v>9.1999999999999993</v>
      </c>
      <c r="Q15" s="304">
        <v>9.3000000000000007</v>
      </c>
      <c r="R15" s="304">
        <v>9.6</v>
      </c>
      <c r="S15" s="304">
        <v>9.6999999999999993</v>
      </c>
      <c r="T15" s="304">
        <v>10</v>
      </c>
      <c r="U15" s="304">
        <v>10.1</v>
      </c>
      <c r="V15" s="304">
        <v>10.199999999999999</v>
      </c>
      <c r="W15" s="304">
        <v>10.5</v>
      </c>
      <c r="X15" s="311">
        <v>10.6</v>
      </c>
    </row>
    <row r="16" spans="1:32" ht="15.75" thickBot="1" x14ac:dyDescent="0.3">
      <c r="A16" s="303"/>
      <c r="B16" s="359">
        <v>1.006</v>
      </c>
      <c r="C16" s="304">
        <v>8.6999999999999993</v>
      </c>
      <c r="D16" s="304">
        <v>8.8000000000000007</v>
      </c>
      <c r="E16" s="304">
        <v>8.9</v>
      </c>
      <c r="F16" s="304">
        <v>9.1</v>
      </c>
      <c r="G16" s="304">
        <v>9.1999999999999993</v>
      </c>
      <c r="H16" s="304">
        <v>9.3000000000000007</v>
      </c>
      <c r="I16" s="304">
        <v>9.4</v>
      </c>
      <c r="J16" s="358">
        <v>9.6</v>
      </c>
      <c r="K16" s="304">
        <v>9.6999999999999993</v>
      </c>
      <c r="L16" s="304">
        <v>9.8000000000000007</v>
      </c>
      <c r="M16" s="344">
        <v>10.1</v>
      </c>
      <c r="N16" s="346">
        <v>10.199999999999999</v>
      </c>
      <c r="O16" s="304">
        <v>10.4</v>
      </c>
      <c r="P16" s="304">
        <v>10.5</v>
      </c>
      <c r="Q16" s="304">
        <v>10.7</v>
      </c>
      <c r="R16" s="304">
        <v>10.9</v>
      </c>
      <c r="S16" s="304">
        <v>11</v>
      </c>
      <c r="T16" s="304">
        <v>11.3</v>
      </c>
      <c r="U16" s="304">
        <v>11.4</v>
      </c>
      <c r="V16" s="304">
        <v>11.7</v>
      </c>
      <c r="W16" s="304">
        <v>11.8</v>
      </c>
      <c r="X16" s="311">
        <v>12</v>
      </c>
    </row>
    <row r="17" spans="1:24" ht="15.75" thickBot="1" x14ac:dyDescent="0.3">
      <c r="A17" s="303"/>
      <c r="B17" s="359">
        <v>1.0069999999999999</v>
      </c>
      <c r="C17" s="304">
        <v>10</v>
      </c>
      <c r="D17" s="304">
        <v>10.1</v>
      </c>
      <c r="E17" s="304">
        <v>10.199999999999999</v>
      </c>
      <c r="F17" s="304">
        <v>10.4</v>
      </c>
      <c r="G17" s="304">
        <v>10.5</v>
      </c>
      <c r="H17" s="304">
        <v>10.6</v>
      </c>
      <c r="I17" s="304">
        <v>10.7</v>
      </c>
      <c r="J17" s="358">
        <v>10.9</v>
      </c>
      <c r="K17" s="304">
        <v>11</v>
      </c>
      <c r="L17" s="304">
        <v>11.3</v>
      </c>
      <c r="M17" s="344">
        <v>11.4</v>
      </c>
      <c r="N17" s="346">
        <v>11.5</v>
      </c>
      <c r="O17" s="304">
        <v>11.7</v>
      </c>
      <c r="P17" s="304">
        <v>11.9</v>
      </c>
      <c r="Q17" s="304">
        <v>12</v>
      </c>
      <c r="R17" s="304">
        <v>12.2</v>
      </c>
      <c r="S17" s="304">
        <v>12.4</v>
      </c>
      <c r="T17" s="304">
        <v>12.6</v>
      </c>
      <c r="U17" s="304">
        <v>12.8</v>
      </c>
      <c r="V17" s="304">
        <v>13</v>
      </c>
      <c r="W17" s="304">
        <v>13.1</v>
      </c>
      <c r="X17" s="311">
        <v>13.4</v>
      </c>
    </row>
    <row r="18" spans="1:24" ht="15.75" thickBot="1" x14ac:dyDescent="0.3">
      <c r="A18" s="303"/>
      <c r="B18" s="359">
        <v>1.008</v>
      </c>
      <c r="C18" s="304">
        <v>11.3</v>
      </c>
      <c r="D18" s="304">
        <v>11.4</v>
      </c>
      <c r="E18" s="304">
        <v>11.5</v>
      </c>
      <c r="F18" s="304">
        <v>11.7</v>
      </c>
      <c r="G18" s="304">
        <v>11.8</v>
      </c>
      <c r="H18" s="304">
        <v>11.9</v>
      </c>
      <c r="I18" s="304">
        <v>12</v>
      </c>
      <c r="J18" s="358">
        <v>12.2</v>
      </c>
      <c r="K18" s="304">
        <v>12.4</v>
      </c>
      <c r="L18" s="304">
        <v>12.6</v>
      </c>
      <c r="M18" s="344">
        <v>12.7</v>
      </c>
      <c r="N18" s="346">
        <v>12.8</v>
      </c>
      <c r="O18" s="304">
        <v>13</v>
      </c>
      <c r="P18" s="304">
        <v>13.2</v>
      </c>
      <c r="Q18" s="304">
        <v>13.4</v>
      </c>
      <c r="R18" s="304">
        <v>13.6</v>
      </c>
      <c r="S18" s="304">
        <v>13.7</v>
      </c>
      <c r="T18" s="304">
        <v>13.9</v>
      </c>
      <c r="U18" s="304">
        <v>14.1</v>
      </c>
      <c r="V18" s="304">
        <v>14.3</v>
      </c>
      <c r="W18" s="304">
        <v>14.5</v>
      </c>
      <c r="X18" s="311">
        <v>14.7</v>
      </c>
    </row>
    <row r="19" spans="1:24" ht="15.75" thickBot="1" x14ac:dyDescent="0.3">
      <c r="A19" s="303"/>
      <c r="B19" s="359">
        <v>1.0089999999999999</v>
      </c>
      <c r="C19" s="304">
        <v>12.6</v>
      </c>
      <c r="D19" s="304">
        <v>12.7</v>
      </c>
      <c r="E19" s="304">
        <v>12.8</v>
      </c>
      <c r="F19" s="304">
        <v>13</v>
      </c>
      <c r="G19" s="304">
        <v>13.1</v>
      </c>
      <c r="H19" s="304">
        <v>13.2</v>
      </c>
      <c r="I19" s="304">
        <v>13.4</v>
      </c>
      <c r="J19" s="358">
        <v>13.6</v>
      </c>
      <c r="K19" s="304">
        <v>13.7</v>
      </c>
      <c r="L19" s="304">
        <v>13.9</v>
      </c>
      <c r="M19" s="344">
        <v>14</v>
      </c>
      <c r="N19" s="346">
        <v>14.1</v>
      </c>
      <c r="O19" s="304">
        <v>14.4</v>
      </c>
      <c r="P19" s="304">
        <v>14.5</v>
      </c>
      <c r="Q19" s="304">
        <v>14.7</v>
      </c>
      <c r="R19" s="304">
        <v>14.9</v>
      </c>
      <c r="S19" s="304">
        <v>15</v>
      </c>
      <c r="T19" s="304">
        <v>15.3</v>
      </c>
      <c r="U19" s="304">
        <v>15.4</v>
      </c>
      <c r="V19" s="304">
        <v>15.7</v>
      </c>
      <c r="W19" s="304">
        <v>15.8</v>
      </c>
      <c r="X19" s="311">
        <v>16.100000000000001</v>
      </c>
    </row>
    <row r="20" spans="1:24" ht="15.75" thickBot="1" x14ac:dyDescent="0.3">
      <c r="A20" s="303"/>
      <c r="B20" s="359">
        <v>1.01</v>
      </c>
      <c r="C20" s="304">
        <v>13.9</v>
      </c>
      <c r="D20" s="304">
        <v>14</v>
      </c>
      <c r="E20" s="304">
        <v>14.1</v>
      </c>
      <c r="F20" s="304">
        <v>14.3</v>
      </c>
      <c r="G20" s="304">
        <v>14.4</v>
      </c>
      <c r="H20" s="304">
        <v>14.5</v>
      </c>
      <c r="I20" s="304">
        <v>14.8</v>
      </c>
      <c r="J20" s="358">
        <v>14.9</v>
      </c>
      <c r="K20" s="304">
        <v>15</v>
      </c>
      <c r="L20" s="304">
        <v>15.2</v>
      </c>
      <c r="M20" s="344">
        <v>15.3</v>
      </c>
      <c r="N20" s="346">
        <v>15.6</v>
      </c>
      <c r="O20" s="304">
        <v>15.7</v>
      </c>
      <c r="P20" s="304">
        <v>15.8</v>
      </c>
      <c r="Q20" s="304">
        <v>16.100000000000001</v>
      </c>
      <c r="R20" s="304">
        <v>16.2</v>
      </c>
      <c r="S20" s="304">
        <v>16.5</v>
      </c>
      <c r="T20" s="304">
        <v>16.600000000000001</v>
      </c>
      <c r="U20" s="304">
        <v>16.7</v>
      </c>
      <c r="V20" s="304">
        <v>17</v>
      </c>
      <c r="W20" s="304">
        <v>17.100000000000001</v>
      </c>
      <c r="X20" s="311">
        <v>17.399999999999999</v>
      </c>
    </row>
    <row r="21" spans="1:24" ht="15.75" thickBot="1" x14ac:dyDescent="0.3">
      <c r="A21" s="303"/>
      <c r="B21" s="359">
        <v>1.0109999999999999</v>
      </c>
      <c r="C21" s="304">
        <v>15.2</v>
      </c>
      <c r="D21" s="304">
        <v>15.3</v>
      </c>
      <c r="E21" s="304">
        <v>15.4</v>
      </c>
      <c r="F21" s="304">
        <v>15.6</v>
      </c>
      <c r="G21" s="304">
        <v>15.7</v>
      </c>
      <c r="H21" s="304">
        <v>16</v>
      </c>
      <c r="I21" s="304">
        <v>16.100000000000001</v>
      </c>
      <c r="J21" s="358">
        <v>16.2</v>
      </c>
      <c r="K21" s="304">
        <v>16.3</v>
      </c>
      <c r="L21" s="304">
        <v>16.5</v>
      </c>
      <c r="M21" s="344">
        <v>16.7</v>
      </c>
      <c r="N21" s="346">
        <v>16.899999999999999</v>
      </c>
      <c r="O21" s="304">
        <v>17</v>
      </c>
      <c r="P21" s="304">
        <v>17.3</v>
      </c>
      <c r="Q21" s="304">
        <v>17.399999999999999</v>
      </c>
      <c r="R21" s="304">
        <v>17.5</v>
      </c>
      <c r="S21" s="304">
        <v>17.8</v>
      </c>
      <c r="T21" s="304">
        <v>17.899999999999999</v>
      </c>
      <c r="U21" s="304">
        <v>18.2</v>
      </c>
      <c r="V21" s="304">
        <v>18.3</v>
      </c>
      <c r="W21" s="304">
        <v>18.600000000000001</v>
      </c>
      <c r="X21" s="311">
        <v>18.7</v>
      </c>
    </row>
    <row r="22" spans="1:24" ht="15.75" thickBot="1" x14ac:dyDescent="0.3">
      <c r="A22" s="303"/>
      <c r="B22" s="359">
        <v>1.012</v>
      </c>
      <c r="C22" s="304">
        <v>16.5</v>
      </c>
      <c r="D22" s="304">
        <v>16.600000000000001</v>
      </c>
      <c r="E22" s="304">
        <v>16.7</v>
      </c>
      <c r="F22" s="304">
        <v>17</v>
      </c>
      <c r="G22" s="304">
        <v>17.100000000000001</v>
      </c>
      <c r="H22" s="304">
        <v>17.3</v>
      </c>
      <c r="I22" s="304">
        <v>17.399999999999999</v>
      </c>
      <c r="J22" s="358">
        <v>17.5</v>
      </c>
      <c r="K22" s="304">
        <v>17.7</v>
      </c>
      <c r="L22" s="304">
        <v>17.899999999999999</v>
      </c>
      <c r="M22" s="344">
        <v>18</v>
      </c>
      <c r="N22" s="346">
        <v>18.2</v>
      </c>
      <c r="O22" s="304">
        <v>18.3</v>
      </c>
      <c r="P22" s="304">
        <v>18.600000000000001</v>
      </c>
      <c r="Q22" s="304">
        <v>18.7</v>
      </c>
      <c r="R22" s="304">
        <v>19</v>
      </c>
      <c r="S22" s="304">
        <v>19.100000000000001</v>
      </c>
      <c r="T22" s="304">
        <v>19.3</v>
      </c>
      <c r="U22" s="304">
        <v>19.5</v>
      </c>
      <c r="V22" s="304">
        <v>19.600000000000001</v>
      </c>
      <c r="W22" s="304">
        <v>19.899999999999999</v>
      </c>
      <c r="X22" s="311">
        <v>20.100000000000001</v>
      </c>
    </row>
    <row r="23" spans="1:24" ht="15.75" thickBot="1" x14ac:dyDescent="0.3">
      <c r="A23" s="303"/>
      <c r="B23" s="359">
        <v>1.0129999999999999</v>
      </c>
      <c r="C23" s="304">
        <v>17.8</v>
      </c>
      <c r="D23" s="304">
        <v>17.899999999999999</v>
      </c>
      <c r="E23" s="304">
        <v>18</v>
      </c>
      <c r="F23" s="304">
        <v>18.3</v>
      </c>
      <c r="G23" s="304">
        <v>18.399999999999999</v>
      </c>
      <c r="H23" s="304">
        <v>18.600000000000001</v>
      </c>
      <c r="I23" s="304">
        <v>18.7</v>
      </c>
      <c r="J23" s="358">
        <v>18.8</v>
      </c>
      <c r="K23" s="304">
        <v>19.100000000000001</v>
      </c>
      <c r="L23" s="304">
        <v>19.2</v>
      </c>
      <c r="M23" s="344">
        <v>19.3</v>
      </c>
      <c r="N23" s="346">
        <v>19.5</v>
      </c>
      <c r="O23" s="304">
        <v>19.7</v>
      </c>
      <c r="P23" s="304">
        <v>19.899999999999999</v>
      </c>
      <c r="Q23" s="304">
        <v>20</v>
      </c>
      <c r="R23" s="304">
        <v>20.3</v>
      </c>
      <c r="S23" s="304">
        <v>20.399999999999999</v>
      </c>
      <c r="T23" s="304">
        <v>20.6</v>
      </c>
      <c r="U23" s="304">
        <v>20.8</v>
      </c>
      <c r="V23" s="304">
        <v>21</v>
      </c>
      <c r="W23" s="304">
        <v>21.2</v>
      </c>
      <c r="X23" s="311">
        <v>21.4</v>
      </c>
    </row>
    <row r="24" spans="1:24" ht="15.75" thickBot="1" x14ac:dyDescent="0.3">
      <c r="A24" s="303"/>
      <c r="B24" s="359">
        <v>1.014</v>
      </c>
      <c r="C24" s="304">
        <v>19.100000000000001</v>
      </c>
      <c r="D24" s="304">
        <v>19.3</v>
      </c>
      <c r="E24" s="304">
        <v>19.5</v>
      </c>
      <c r="F24" s="304">
        <v>19.600000000000001</v>
      </c>
      <c r="G24" s="304">
        <v>19.7</v>
      </c>
      <c r="H24" s="304">
        <v>19.899999999999999</v>
      </c>
      <c r="I24" s="304">
        <v>20</v>
      </c>
      <c r="J24" s="358">
        <v>20.100000000000001</v>
      </c>
      <c r="K24" s="304">
        <v>20.399999999999999</v>
      </c>
      <c r="L24" s="304">
        <v>20.5</v>
      </c>
      <c r="M24" s="344">
        <v>20.6</v>
      </c>
      <c r="N24" s="346">
        <v>20.9</v>
      </c>
      <c r="O24" s="304">
        <v>21</v>
      </c>
      <c r="P24" s="304">
        <v>21.2</v>
      </c>
      <c r="Q24" s="304">
        <v>21.4</v>
      </c>
      <c r="R24" s="304">
        <v>21.6</v>
      </c>
      <c r="S24" s="304">
        <v>21.8</v>
      </c>
      <c r="T24" s="304">
        <v>22</v>
      </c>
      <c r="U24" s="304">
        <v>22.2</v>
      </c>
      <c r="V24" s="304">
        <v>22.3</v>
      </c>
      <c r="W24" s="304">
        <v>22.6</v>
      </c>
      <c r="X24" s="311">
        <v>22.7</v>
      </c>
    </row>
    <row r="25" spans="1:24" ht="15.75" thickBot="1" x14ac:dyDescent="0.3">
      <c r="A25" s="303"/>
      <c r="B25" s="359">
        <v>1.0149999999999999</v>
      </c>
      <c r="C25" s="304">
        <v>20.5</v>
      </c>
      <c r="D25" s="304">
        <v>20.6</v>
      </c>
      <c r="E25" s="304">
        <v>20.8</v>
      </c>
      <c r="F25" s="304">
        <v>20.9</v>
      </c>
      <c r="G25" s="304">
        <v>21</v>
      </c>
      <c r="H25" s="304">
        <v>21.2</v>
      </c>
      <c r="I25" s="304">
        <v>21.3</v>
      </c>
      <c r="J25" s="358">
        <v>21.6</v>
      </c>
      <c r="K25" s="304">
        <v>21.7</v>
      </c>
      <c r="L25" s="304">
        <v>21.8</v>
      </c>
      <c r="M25" s="344">
        <v>22</v>
      </c>
      <c r="N25" s="346">
        <v>22.2</v>
      </c>
      <c r="O25" s="304">
        <v>22.3</v>
      </c>
      <c r="P25" s="304">
        <v>22.5</v>
      </c>
      <c r="Q25" s="304">
        <v>22.7</v>
      </c>
      <c r="R25" s="304">
        <v>22.9</v>
      </c>
      <c r="S25" s="304">
        <v>23.1</v>
      </c>
      <c r="T25" s="304">
        <v>23.3</v>
      </c>
      <c r="U25" s="304">
        <v>23.5</v>
      </c>
      <c r="V25" s="304">
        <v>23.6</v>
      </c>
      <c r="W25" s="304">
        <v>23.9</v>
      </c>
      <c r="X25" s="311">
        <v>24</v>
      </c>
    </row>
    <row r="26" spans="1:24" ht="15.75" thickBot="1" x14ac:dyDescent="0.3">
      <c r="A26" s="303"/>
      <c r="B26" s="359">
        <v>1.016</v>
      </c>
      <c r="C26" s="304">
        <v>21.8</v>
      </c>
      <c r="D26" s="304">
        <v>22</v>
      </c>
      <c r="E26" s="304">
        <v>22.1</v>
      </c>
      <c r="F26" s="304">
        <v>22.2</v>
      </c>
      <c r="G26" s="304">
        <v>22.3</v>
      </c>
      <c r="H26" s="304">
        <v>22.5</v>
      </c>
      <c r="I26" s="304">
        <v>22.7</v>
      </c>
      <c r="J26" s="358">
        <v>22.9</v>
      </c>
      <c r="K26" s="304">
        <v>23</v>
      </c>
      <c r="L26" s="304">
        <v>23.3</v>
      </c>
      <c r="M26" s="344">
        <v>23.4</v>
      </c>
      <c r="N26" s="346">
        <v>23.5</v>
      </c>
      <c r="O26" s="304">
        <v>23.6</v>
      </c>
      <c r="P26" s="304">
        <v>23.9</v>
      </c>
      <c r="Q26" s="304">
        <v>24</v>
      </c>
      <c r="R26" s="304">
        <v>24.3</v>
      </c>
      <c r="S26" s="304">
        <v>24.4</v>
      </c>
      <c r="T26" s="304">
        <v>24.7</v>
      </c>
      <c r="U26" s="304">
        <v>24.8</v>
      </c>
      <c r="V26" s="304">
        <v>25.1</v>
      </c>
      <c r="W26" s="304">
        <v>25.2</v>
      </c>
      <c r="X26" s="311">
        <v>25.5</v>
      </c>
    </row>
    <row r="27" spans="1:24" ht="15.75" thickBot="1" x14ac:dyDescent="0.3">
      <c r="A27" s="303"/>
      <c r="B27" s="359">
        <v>1.0169999999999999</v>
      </c>
      <c r="C27" s="304">
        <v>23.1</v>
      </c>
      <c r="D27" s="304">
        <v>23.3</v>
      </c>
      <c r="E27" s="304">
        <v>23.4</v>
      </c>
      <c r="F27" s="304">
        <v>23.5</v>
      </c>
      <c r="G27" s="304">
        <v>23.6</v>
      </c>
      <c r="H27" s="304">
        <v>23.8</v>
      </c>
      <c r="I27" s="304">
        <v>24</v>
      </c>
      <c r="J27" s="358">
        <v>24.2</v>
      </c>
      <c r="K27" s="304">
        <v>24.3</v>
      </c>
      <c r="L27" s="304">
        <v>24.6</v>
      </c>
      <c r="M27" s="344">
        <v>24.7</v>
      </c>
      <c r="N27" s="346">
        <v>24.8</v>
      </c>
      <c r="O27" s="304">
        <v>25.1</v>
      </c>
      <c r="P27" s="304">
        <v>25.2</v>
      </c>
      <c r="Q27" s="304">
        <v>25.3</v>
      </c>
      <c r="R27" s="304">
        <v>25.6</v>
      </c>
      <c r="S27" s="304">
        <v>25.7</v>
      </c>
      <c r="T27" s="304">
        <v>26</v>
      </c>
      <c r="U27" s="304">
        <v>26.1</v>
      </c>
      <c r="V27" s="304">
        <v>26.4</v>
      </c>
      <c r="W27" s="304">
        <v>26.5</v>
      </c>
      <c r="X27" s="311">
        <v>26.8</v>
      </c>
    </row>
    <row r="28" spans="1:24" ht="15.75" thickBot="1" x14ac:dyDescent="0.3">
      <c r="A28" s="303"/>
      <c r="B28" s="359">
        <v>1.018</v>
      </c>
      <c r="C28" s="304">
        <v>24.4</v>
      </c>
      <c r="D28" s="304">
        <v>24.6</v>
      </c>
      <c r="E28" s="304">
        <v>24.7</v>
      </c>
      <c r="F28" s="304">
        <v>24.8</v>
      </c>
      <c r="G28" s="304">
        <v>24.9</v>
      </c>
      <c r="H28" s="304">
        <v>25.2</v>
      </c>
      <c r="I28" s="304">
        <v>25.3</v>
      </c>
      <c r="J28" s="358">
        <v>25.5</v>
      </c>
      <c r="K28" s="304">
        <v>25.6</v>
      </c>
      <c r="L28" s="304">
        <v>25.9</v>
      </c>
      <c r="M28" s="344">
        <v>26</v>
      </c>
      <c r="N28" s="346">
        <v>26.1</v>
      </c>
      <c r="O28" s="304">
        <v>26.4</v>
      </c>
      <c r="P28" s="304">
        <v>26.5</v>
      </c>
      <c r="Q28" s="304">
        <v>26.8</v>
      </c>
      <c r="R28" s="304">
        <v>26.9</v>
      </c>
      <c r="S28" s="304">
        <v>27.2</v>
      </c>
      <c r="T28" s="304">
        <v>27.3</v>
      </c>
      <c r="U28" s="304">
        <v>27.6</v>
      </c>
      <c r="V28" s="304">
        <v>27.7</v>
      </c>
      <c r="W28" s="304">
        <v>27.9</v>
      </c>
      <c r="X28" s="311">
        <v>28.1</v>
      </c>
    </row>
    <row r="29" spans="1:24" ht="15.75" thickBot="1" x14ac:dyDescent="0.3">
      <c r="A29" s="303"/>
      <c r="B29" s="359">
        <v>1.0189999999999999</v>
      </c>
      <c r="C29" s="304">
        <v>25.7</v>
      </c>
      <c r="D29" s="304">
        <v>25.9</v>
      </c>
      <c r="E29" s="304">
        <v>26</v>
      </c>
      <c r="F29" s="304">
        <v>26.1</v>
      </c>
      <c r="G29" s="304">
        <v>26.4</v>
      </c>
      <c r="H29" s="304">
        <v>26.5</v>
      </c>
      <c r="I29" s="304">
        <v>26.6</v>
      </c>
      <c r="J29" s="358">
        <v>26.8</v>
      </c>
      <c r="K29" s="304">
        <v>27</v>
      </c>
      <c r="L29" s="304">
        <v>27.2</v>
      </c>
      <c r="M29" s="344">
        <v>27.3</v>
      </c>
      <c r="N29" s="346">
        <v>27.6</v>
      </c>
      <c r="O29" s="304">
        <v>27.7</v>
      </c>
      <c r="P29" s="304">
        <v>27.8</v>
      </c>
      <c r="Q29" s="304">
        <v>28.1</v>
      </c>
      <c r="R29" s="304">
        <v>28.2</v>
      </c>
      <c r="S29" s="304">
        <v>28.5</v>
      </c>
      <c r="T29" s="304">
        <v>28.6</v>
      </c>
      <c r="U29" s="304">
        <v>28.9</v>
      </c>
      <c r="V29" s="304">
        <v>29</v>
      </c>
      <c r="W29" s="304">
        <v>29.2</v>
      </c>
      <c r="X29" s="311">
        <v>29.5</v>
      </c>
    </row>
    <row r="30" spans="1:24" ht="15.75" thickBot="1" x14ac:dyDescent="0.3">
      <c r="A30" s="303"/>
      <c r="B30" s="370">
        <v>1.02</v>
      </c>
      <c r="C30" s="304">
        <v>27</v>
      </c>
      <c r="D30" s="304">
        <v>27.2</v>
      </c>
      <c r="E30" s="304">
        <v>27.3</v>
      </c>
      <c r="F30" s="304">
        <v>27.4</v>
      </c>
      <c r="G30" s="304">
        <v>27.7</v>
      </c>
      <c r="H30" s="304">
        <v>27.8</v>
      </c>
      <c r="I30" s="304">
        <v>27.9</v>
      </c>
      <c r="J30" s="366">
        <v>25.73</v>
      </c>
      <c r="K30" s="348">
        <v>25.93</v>
      </c>
      <c r="L30" s="348">
        <v>26.15</v>
      </c>
      <c r="M30" s="348">
        <v>26.34</v>
      </c>
      <c r="N30" s="360">
        <v>26.56</v>
      </c>
      <c r="O30" s="348">
        <v>26.78</v>
      </c>
      <c r="P30" s="348">
        <v>27</v>
      </c>
      <c r="Q30" s="348">
        <v>27.22</v>
      </c>
      <c r="R30" s="348">
        <v>27.44</v>
      </c>
      <c r="S30" s="348">
        <v>27.69</v>
      </c>
      <c r="T30" s="348">
        <v>27.91</v>
      </c>
      <c r="U30" s="348">
        <v>28.15</v>
      </c>
      <c r="V30" s="348">
        <v>28.37</v>
      </c>
      <c r="W30" s="348">
        <v>28.61</v>
      </c>
      <c r="X30" s="368">
        <v>28.86</v>
      </c>
    </row>
    <row r="31" spans="1:24" ht="15.75" thickBot="1" x14ac:dyDescent="0.3">
      <c r="A31" s="303"/>
      <c r="B31" s="371">
        <f>B30+0.0002</f>
        <v>1.0202</v>
      </c>
      <c r="C31" s="304"/>
      <c r="D31" s="304"/>
      <c r="E31" s="304"/>
      <c r="F31" s="304"/>
      <c r="G31" s="304"/>
      <c r="H31" s="304"/>
      <c r="I31" s="304"/>
      <c r="J31" s="367">
        <v>26</v>
      </c>
      <c r="K31" s="351">
        <v>26.2</v>
      </c>
      <c r="L31" s="351">
        <v>26.42</v>
      </c>
      <c r="M31" s="351">
        <v>26.61</v>
      </c>
      <c r="N31" s="361">
        <v>26.83</v>
      </c>
      <c r="O31" s="351">
        <v>27.05</v>
      </c>
      <c r="P31" s="351">
        <v>27.27</v>
      </c>
      <c r="Q31" s="351">
        <v>27.49</v>
      </c>
      <c r="R31" s="351">
        <v>27.71</v>
      </c>
      <c r="S31" s="351">
        <v>27.95</v>
      </c>
      <c r="T31" s="351">
        <v>28.17</v>
      </c>
      <c r="U31" s="351">
        <v>28.42</v>
      </c>
      <c r="V31" s="351">
        <v>28.64</v>
      </c>
      <c r="W31" s="351">
        <v>28.91</v>
      </c>
      <c r="X31" s="369">
        <v>29.13</v>
      </c>
    </row>
    <row r="32" spans="1:24" ht="15.75" thickBot="1" x14ac:dyDescent="0.3">
      <c r="A32" s="303"/>
      <c r="B32" s="371">
        <f t="shared" ref="B32:B65" si="2">B31+0.0002</f>
        <v>1.0204</v>
      </c>
      <c r="C32" s="304"/>
      <c r="D32" s="304"/>
      <c r="E32" s="304"/>
      <c r="F32" s="304"/>
      <c r="G32" s="304"/>
      <c r="H32" s="304"/>
      <c r="I32" s="304"/>
      <c r="J32" s="367">
        <v>26.25</v>
      </c>
      <c r="K32" s="351">
        <v>26.46</v>
      </c>
      <c r="L32" s="351">
        <v>26.66</v>
      </c>
      <c r="M32" s="351">
        <v>26.88</v>
      </c>
      <c r="N32" s="361">
        <v>27.1</v>
      </c>
      <c r="O32" s="351">
        <v>27.32</v>
      </c>
      <c r="P32" s="351">
        <v>27.54</v>
      </c>
      <c r="Q32" s="351">
        <v>27.76</v>
      </c>
      <c r="R32" s="351">
        <v>27.98</v>
      </c>
      <c r="S32" s="351">
        <v>28.23</v>
      </c>
      <c r="T32" s="351">
        <v>28.44</v>
      </c>
      <c r="U32" s="351">
        <v>28.69</v>
      </c>
      <c r="V32" s="351">
        <v>28.93</v>
      </c>
      <c r="W32" s="351">
        <v>29.15</v>
      </c>
      <c r="X32" s="369">
        <v>29.39</v>
      </c>
    </row>
    <row r="33" spans="1:24" ht="15.75" thickBot="1" x14ac:dyDescent="0.3">
      <c r="A33" s="303"/>
      <c r="B33" s="371">
        <f t="shared" si="2"/>
        <v>1.0206</v>
      </c>
      <c r="C33" s="304"/>
      <c r="D33" s="304"/>
      <c r="E33" s="304"/>
      <c r="F33" s="304"/>
      <c r="G33" s="304"/>
      <c r="H33" s="304"/>
      <c r="I33" s="304"/>
      <c r="J33" s="367">
        <v>26.51</v>
      </c>
      <c r="K33" s="351">
        <v>26.73</v>
      </c>
      <c r="L33" s="351">
        <v>26.93</v>
      </c>
      <c r="M33" s="351">
        <v>27.15</v>
      </c>
      <c r="N33" s="361">
        <v>27.37</v>
      </c>
      <c r="O33" s="351">
        <v>27.59</v>
      </c>
      <c r="P33" s="351">
        <v>27.81</v>
      </c>
      <c r="Q33" s="351">
        <v>28.03</v>
      </c>
      <c r="R33" s="351">
        <v>28.25</v>
      </c>
      <c r="S33" s="351">
        <v>28.47</v>
      </c>
      <c r="T33" s="351">
        <v>28.71</v>
      </c>
      <c r="U33" s="351">
        <v>28.96</v>
      </c>
      <c r="V33" s="351">
        <v>29.2</v>
      </c>
      <c r="W33" s="351">
        <v>29.42</v>
      </c>
      <c r="X33" s="369">
        <v>29.66</v>
      </c>
    </row>
    <row r="34" spans="1:24" ht="15.75" thickBot="1" x14ac:dyDescent="0.3">
      <c r="A34" s="303"/>
      <c r="B34" s="371">
        <f t="shared" si="2"/>
        <v>1.0207999999999999</v>
      </c>
      <c r="C34" s="304"/>
      <c r="D34" s="304"/>
      <c r="E34" s="304"/>
      <c r="F34" s="304"/>
      <c r="G34" s="304"/>
      <c r="H34" s="304"/>
      <c r="I34" s="304"/>
      <c r="J34" s="367">
        <v>26.78</v>
      </c>
      <c r="K34" s="351">
        <v>27</v>
      </c>
      <c r="L34" s="351">
        <v>27.2</v>
      </c>
      <c r="M34" s="351">
        <v>27.42</v>
      </c>
      <c r="N34" s="361">
        <v>27.64</v>
      </c>
      <c r="O34" s="351">
        <v>27.83</v>
      </c>
      <c r="P34" s="351">
        <v>28.08</v>
      </c>
      <c r="Q34" s="351">
        <v>28.3</v>
      </c>
      <c r="R34" s="351">
        <v>28.52</v>
      </c>
      <c r="S34" s="351">
        <v>28.74</v>
      </c>
      <c r="T34" s="351">
        <v>28.98</v>
      </c>
      <c r="U34" s="351">
        <v>29.22</v>
      </c>
      <c r="V34" s="351">
        <v>29.44</v>
      </c>
      <c r="W34" s="351">
        <v>29.69</v>
      </c>
      <c r="X34" s="369">
        <v>29.93</v>
      </c>
    </row>
    <row r="35" spans="1:24" ht="15.75" thickBot="1" x14ac:dyDescent="0.3">
      <c r="A35" s="303"/>
      <c r="B35" s="371">
        <f t="shared" si="2"/>
        <v>1.0209999999999999</v>
      </c>
      <c r="C35" s="304">
        <v>28.3</v>
      </c>
      <c r="D35" s="304">
        <v>28.5</v>
      </c>
      <c r="E35" s="304">
        <v>28.6</v>
      </c>
      <c r="F35" s="304">
        <v>28.9</v>
      </c>
      <c r="G35" s="304">
        <v>29</v>
      </c>
      <c r="H35" s="304">
        <v>29.1</v>
      </c>
      <c r="I35" s="304">
        <v>29.2</v>
      </c>
      <c r="J35" s="367">
        <v>27.05</v>
      </c>
      <c r="K35" s="351">
        <v>27.25</v>
      </c>
      <c r="L35" s="351">
        <v>27.47</v>
      </c>
      <c r="M35" s="351">
        <v>27.69</v>
      </c>
      <c r="N35" s="361">
        <v>27.88</v>
      </c>
      <c r="O35" s="351">
        <v>28.1</v>
      </c>
      <c r="P35" s="351">
        <v>28.32</v>
      </c>
      <c r="Q35" s="351">
        <v>28.56</v>
      </c>
      <c r="R35" s="351">
        <v>28.78</v>
      </c>
      <c r="S35" s="351">
        <v>29.03</v>
      </c>
      <c r="T35" s="351">
        <v>29.25</v>
      </c>
      <c r="U35" s="351">
        <v>29.49</v>
      </c>
      <c r="V35" s="351">
        <v>29.71</v>
      </c>
      <c r="W35" s="351">
        <v>29.96</v>
      </c>
      <c r="X35" s="369">
        <v>30.2</v>
      </c>
    </row>
    <row r="36" spans="1:24" ht="15.75" thickBot="1" x14ac:dyDescent="0.3">
      <c r="A36" s="303"/>
      <c r="B36" s="371">
        <f t="shared" si="2"/>
        <v>1.0211999999999999</v>
      </c>
      <c r="C36" s="304"/>
      <c r="D36" s="304"/>
      <c r="E36" s="304"/>
      <c r="F36" s="304"/>
      <c r="G36" s="304"/>
      <c r="H36" s="304"/>
      <c r="I36" s="304"/>
      <c r="J36" s="367">
        <v>27.32</v>
      </c>
      <c r="K36" s="351">
        <v>27.51</v>
      </c>
      <c r="L36" s="351">
        <v>27.73</v>
      </c>
      <c r="M36" s="351">
        <v>27.93</v>
      </c>
      <c r="N36" s="361">
        <v>28.15</v>
      </c>
      <c r="O36" s="351">
        <v>28.37</v>
      </c>
      <c r="P36" s="351">
        <v>28.59</v>
      </c>
      <c r="Q36" s="351">
        <v>28.81</v>
      </c>
      <c r="R36" s="351">
        <v>29.05</v>
      </c>
      <c r="S36" s="351">
        <v>29.3</v>
      </c>
      <c r="T36" s="351">
        <v>29.52</v>
      </c>
      <c r="U36" s="351">
        <v>29.76</v>
      </c>
      <c r="V36" s="351">
        <v>29.98</v>
      </c>
      <c r="W36" s="351">
        <v>30.22</v>
      </c>
      <c r="X36" s="369">
        <v>30.47</v>
      </c>
    </row>
    <row r="37" spans="1:24" ht="15.75" thickBot="1" x14ac:dyDescent="0.3">
      <c r="A37" s="303"/>
      <c r="B37" s="371">
        <f t="shared" si="2"/>
        <v>1.0213999999999999</v>
      </c>
      <c r="C37" s="304"/>
      <c r="D37" s="304"/>
      <c r="E37" s="304"/>
      <c r="F37" s="304"/>
      <c r="G37" s="304"/>
      <c r="H37" s="304"/>
      <c r="I37" s="304"/>
      <c r="J37" s="367">
        <v>27.56</v>
      </c>
      <c r="K37" s="351">
        <v>27.78</v>
      </c>
      <c r="L37" s="351">
        <v>27.98</v>
      </c>
      <c r="M37" s="351">
        <v>28.2</v>
      </c>
      <c r="N37" s="361">
        <v>28.42</v>
      </c>
      <c r="O37" s="351">
        <v>28.64</v>
      </c>
      <c r="P37" s="351">
        <v>28.86</v>
      </c>
      <c r="Q37" s="351">
        <v>29.08</v>
      </c>
      <c r="R37" s="351">
        <v>29.32</v>
      </c>
      <c r="S37" s="351">
        <v>29.54</v>
      </c>
      <c r="T37" s="351">
        <v>29.79</v>
      </c>
      <c r="U37" s="351">
        <v>30.03</v>
      </c>
      <c r="V37" s="351">
        <v>30.25</v>
      </c>
      <c r="W37" s="351">
        <v>30.49</v>
      </c>
      <c r="X37" s="369">
        <v>30.76</v>
      </c>
    </row>
    <row r="38" spans="1:24" ht="15.75" thickBot="1" x14ac:dyDescent="0.3">
      <c r="A38" s="303"/>
      <c r="B38" s="371">
        <f t="shared" si="2"/>
        <v>1.0215999999999998</v>
      </c>
      <c r="C38" s="304"/>
      <c r="D38" s="304"/>
      <c r="E38" s="304"/>
      <c r="F38" s="304"/>
      <c r="G38" s="304"/>
      <c r="H38" s="304"/>
      <c r="I38" s="304"/>
      <c r="J38" s="367">
        <v>27.83</v>
      </c>
      <c r="K38" s="351">
        <v>28.05</v>
      </c>
      <c r="L38" s="351">
        <v>28.25</v>
      </c>
      <c r="M38" s="351">
        <v>28.47</v>
      </c>
      <c r="N38" s="361">
        <v>28.69</v>
      </c>
      <c r="O38" s="351">
        <v>28.9</v>
      </c>
      <c r="P38" s="351">
        <v>29.13</v>
      </c>
      <c r="Q38" s="351">
        <v>29.34</v>
      </c>
      <c r="R38" s="351">
        <v>29.59</v>
      </c>
      <c r="S38" s="351">
        <v>29.81</v>
      </c>
      <c r="T38" s="351">
        <v>30.05</v>
      </c>
      <c r="U38" s="351">
        <v>30.27</v>
      </c>
      <c r="V38" s="351">
        <v>30.52</v>
      </c>
      <c r="W38" s="351">
        <v>30.76</v>
      </c>
      <c r="X38" s="369">
        <v>31.01</v>
      </c>
    </row>
    <row r="39" spans="1:24" ht="15.75" thickBot="1" x14ac:dyDescent="0.3">
      <c r="A39" s="303"/>
      <c r="B39" s="371">
        <f t="shared" si="2"/>
        <v>1.0217999999999998</v>
      </c>
      <c r="C39" s="304"/>
      <c r="D39" s="304"/>
      <c r="E39" s="304"/>
      <c r="F39" s="304"/>
      <c r="G39" s="304"/>
      <c r="H39" s="304"/>
      <c r="I39" s="304"/>
      <c r="J39" s="367">
        <v>28.1</v>
      </c>
      <c r="K39" s="351">
        <v>28.32</v>
      </c>
      <c r="L39" s="351">
        <v>28.52</v>
      </c>
      <c r="M39" s="351">
        <v>28.74</v>
      </c>
      <c r="N39" s="361">
        <v>28.96</v>
      </c>
      <c r="O39" s="351">
        <v>29.17</v>
      </c>
      <c r="P39" s="351">
        <v>29.39</v>
      </c>
      <c r="Q39" s="351">
        <v>29.61</v>
      </c>
      <c r="R39" s="351">
        <v>29.85</v>
      </c>
      <c r="S39" s="351">
        <v>30.08</v>
      </c>
      <c r="T39" s="351">
        <v>30.32</v>
      </c>
      <c r="U39" s="351">
        <v>30.54</v>
      </c>
      <c r="V39" s="351">
        <v>30.84</v>
      </c>
      <c r="W39" s="351">
        <v>31.03</v>
      </c>
      <c r="X39" s="369">
        <v>31.27</v>
      </c>
    </row>
    <row r="40" spans="1:24" ht="15.75" thickBot="1" x14ac:dyDescent="0.3">
      <c r="A40" s="303"/>
      <c r="B40" s="371">
        <f t="shared" si="2"/>
        <v>1.0219999999999998</v>
      </c>
      <c r="C40" s="304"/>
      <c r="D40" s="304"/>
      <c r="E40" s="304"/>
      <c r="F40" s="304"/>
      <c r="G40" s="304"/>
      <c r="H40" s="304"/>
      <c r="I40" s="304"/>
      <c r="J40" s="367">
        <v>28.37</v>
      </c>
      <c r="K40" s="351">
        <v>28.56</v>
      </c>
      <c r="L40" s="351">
        <v>28.78</v>
      </c>
      <c r="M40" s="351">
        <v>29</v>
      </c>
      <c r="N40" s="361">
        <v>29.22</v>
      </c>
      <c r="O40" s="351">
        <v>29.44</v>
      </c>
      <c r="P40" s="351">
        <v>29.66</v>
      </c>
      <c r="Q40" s="351">
        <v>29.88</v>
      </c>
      <c r="R40" s="351">
        <v>30.13</v>
      </c>
      <c r="S40" s="351">
        <v>30.35</v>
      </c>
      <c r="T40" s="351">
        <v>30.57</v>
      </c>
      <c r="U40" s="351">
        <v>30.83</v>
      </c>
      <c r="V40" s="351">
        <v>31.05</v>
      </c>
      <c r="W40" s="351">
        <v>31.3</v>
      </c>
      <c r="X40" s="369">
        <v>31.54</v>
      </c>
    </row>
    <row r="41" spans="1:24" ht="15.75" thickBot="1" x14ac:dyDescent="0.3">
      <c r="A41" s="303"/>
      <c r="B41" s="371">
        <f t="shared" si="2"/>
        <v>1.0221999999999998</v>
      </c>
      <c r="C41" s="304">
        <v>29.6</v>
      </c>
      <c r="D41" s="304">
        <v>29.8</v>
      </c>
      <c r="E41" s="304">
        <v>30</v>
      </c>
      <c r="F41" s="304">
        <v>30.2</v>
      </c>
      <c r="G41" s="304">
        <v>30.3</v>
      </c>
      <c r="H41" s="304">
        <v>30.4</v>
      </c>
      <c r="I41" s="304">
        <v>30.7</v>
      </c>
      <c r="J41" s="367">
        <v>28.61</v>
      </c>
      <c r="K41" s="351">
        <v>28.83</v>
      </c>
      <c r="L41" s="351">
        <v>29.05</v>
      </c>
      <c r="M41" s="351">
        <v>29.27</v>
      </c>
      <c r="N41" s="361">
        <v>29.49</v>
      </c>
      <c r="O41" s="351">
        <v>29.71</v>
      </c>
      <c r="P41" s="351">
        <v>29.93</v>
      </c>
      <c r="Q41" s="351">
        <v>30.15</v>
      </c>
      <c r="R41" s="351">
        <v>30.37</v>
      </c>
      <c r="S41" s="351">
        <v>30.62</v>
      </c>
      <c r="T41" s="351">
        <v>30.86</v>
      </c>
      <c r="U41" s="351">
        <v>31.1</v>
      </c>
      <c r="V41" s="351">
        <v>31.32</v>
      </c>
      <c r="W41" s="351">
        <v>31.57</v>
      </c>
      <c r="X41" s="369">
        <v>31.81</v>
      </c>
    </row>
    <row r="42" spans="1:24" ht="15.75" thickBot="1" x14ac:dyDescent="0.3">
      <c r="A42" s="303"/>
      <c r="B42" s="371">
        <f t="shared" si="2"/>
        <v>1.0223999999999998</v>
      </c>
      <c r="C42" s="304"/>
      <c r="D42" s="304"/>
      <c r="E42" s="304"/>
      <c r="F42" s="304"/>
      <c r="G42" s="304"/>
      <c r="H42" s="304"/>
      <c r="I42" s="304"/>
      <c r="J42" s="367">
        <v>28.88</v>
      </c>
      <c r="K42" s="351">
        <v>29.1</v>
      </c>
      <c r="L42" s="351">
        <v>29.32</v>
      </c>
      <c r="M42" s="351">
        <v>29.52</v>
      </c>
      <c r="N42" s="361">
        <v>29.74</v>
      </c>
      <c r="O42" s="351">
        <v>29.96</v>
      </c>
      <c r="P42" s="351">
        <v>30.2</v>
      </c>
      <c r="Q42" s="351">
        <v>30.42</v>
      </c>
      <c r="R42" s="351">
        <v>30.64</v>
      </c>
      <c r="S42" s="351">
        <v>30.88</v>
      </c>
      <c r="T42" s="351">
        <v>31.13</v>
      </c>
      <c r="U42" s="351">
        <v>31.35</v>
      </c>
      <c r="V42" s="351">
        <v>31.59</v>
      </c>
      <c r="W42" s="351">
        <v>31.84</v>
      </c>
      <c r="X42" s="369">
        <v>32.08</v>
      </c>
    </row>
    <row r="43" spans="1:24" ht="15.75" thickBot="1" x14ac:dyDescent="0.3">
      <c r="A43" s="303"/>
      <c r="B43" s="371">
        <f t="shared" si="2"/>
        <v>1.0225999999999997</v>
      </c>
      <c r="C43" s="304"/>
      <c r="D43" s="304"/>
      <c r="E43" s="304"/>
      <c r="F43" s="304"/>
      <c r="G43" s="304"/>
      <c r="H43" s="304"/>
      <c r="I43" s="304"/>
      <c r="J43" s="367">
        <v>29.15</v>
      </c>
      <c r="K43" s="351">
        <v>29.37</v>
      </c>
      <c r="L43" s="351">
        <v>29.57</v>
      </c>
      <c r="M43" s="351">
        <v>29.79</v>
      </c>
      <c r="N43" s="361">
        <v>30</v>
      </c>
      <c r="O43" s="351">
        <v>30.22</v>
      </c>
      <c r="P43" s="351">
        <v>30.47</v>
      </c>
      <c r="Q43" s="351">
        <v>30.69</v>
      </c>
      <c r="R43" s="351">
        <v>30.91</v>
      </c>
      <c r="S43" s="351">
        <v>31.15</v>
      </c>
      <c r="T43" s="351">
        <v>31.4</v>
      </c>
      <c r="U43" s="351">
        <v>31.62</v>
      </c>
      <c r="V43" s="351">
        <v>31.86</v>
      </c>
      <c r="W43" s="351">
        <v>32.1</v>
      </c>
      <c r="X43" s="369">
        <v>32.35</v>
      </c>
    </row>
    <row r="44" spans="1:24" ht="15.75" thickBot="1" x14ac:dyDescent="0.3">
      <c r="A44" s="303"/>
      <c r="B44" s="371">
        <f t="shared" si="2"/>
        <v>1.0227999999999997</v>
      </c>
      <c r="C44" s="304"/>
      <c r="D44" s="304"/>
      <c r="E44" s="304"/>
      <c r="F44" s="304"/>
      <c r="G44" s="304"/>
      <c r="H44" s="304"/>
      <c r="I44" s="304"/>
      <c r="J44" s="367">
        <v>29.42</v>
      </c>
      <c r="K44" s="351">
        <v>29.61</v>
      </c>
      <c r="L44" s="351">
        <v>29.83</v>
      </c>
      <c r="M44" s="351">
        <v>30.05</v>
      </c>
      <c r="N44" s="361">
        <v>30.27</v>
      </c>
      <c r="O44" s="351">
        <v>30.49</v>
      </c>
      <c r="P44" s="351">
        <v>30.71</v>
      </c>
      <c r="Q44" s="351">
        <v>30.96</v>
      </c>
      <c r="R44" s="351">
        <v>31.18</v>
      </c>
      <c r="S44" s="351">
        <v>31.42</v>
      </c>
      <c r="T44" s="351">
        <v>31.64</v>
      </c>
      <c r="U44" s="351">
        <v>31.88</v>
      </c>
      <c r="V44" s="351">
        <v>32.130000000000003</v>
      </c>
      <c r="W44" s="351">
        <v>32.369999999999997</v>
      </c>
      <c r="X44" s="369">
        <v>32.619999999999997</v>
      </c>
    </row>
    <row r="45" spans="1:24" ht="15.75" thickBot="1" x14ac:dyDescent="0.3">
      <c r="A45" s="303"/>
      <c r="B45" s="371">
        <f t="shared" si="2"/>
        <v>1.0229999999999997</v>
      </c>
      <c r="C45" s="304">
        <v>30.9</v>
      </c>
      <c r="D45" s="304">
        <v>31.2</v>
      </c>
      <c r="E45" s="304">
        <v>31.3</v>
      </c>
      <c r="F45" s="304">
        <v>31.5</v>
      </c>
      <c r="G45" s="304">
        <v>31.6</v>
      </c>
      <c r="H45" s="304">
        <v>31.7</v>
      </c>
      <c r="I45" s="304">
        <v>32</v>
      </c>
      <c r="J45" s="367">
        <v>29.66</v>
      </c>
      <c r="K45" s="351">
        <v>29.88</v>
      </c>
      <c r="L45" s="351">
        <v>30.1</v>
      </c>
      <c r="M45" s="351">
        <v>30.32</v>
      </c>
      <c r="N45" s="361">
        <v>30.54</v>
      </c>
      <c r="O45" s="351">
        <v>30.76</v>
      </c>
      <c r="P45" s="351">
        <v>30.98</v>
      </c>
      <c r="Q45" s="351">
        <v>31.22</v>
      </c>
      <c r="R45" s="351">
        <v>31.44</v>
      </c>
      <c r="S45" s="351">
        <v>31.69</v>
      </c>
      <c r="T45" s="351">
        <v>31.91</v>
      </c>
      <c r="U45" s="351">
        <v>32.15</v>
      </c>
      <c r="V45" s="351">
        <v>32.4</v>
      </c>
      <c r="W45" s="351">
        <v>32.64</v>
      </c>
      <c r="X45" s="369">
        <v>32.89</v>
      </c>
    </row>
    <row r="46" spans="1:24" ht="15.75" thickBot="1" x14ac:dyDescent="0.3">
      <c r="A46" s="303"/>
      <c r="B46" s="371">
        <f t="shared" si="2"/>
        <v>1.0231999999999997</v>
      </c>
      <c r="C46" s="304"/>
      <c r="D46" s="304"/>
      <c r="E46" s="304"/>
      <c r="F46" s="304"/>
      <c r="G46" s="304"/>
      <c r="H46" s="304"/>
      <c r="I46" s="304"/>
      <c r="J46" s="367">
        <v>29.93</v>
      </c>
      <c r="K46" s="351">
        <v>30.15</v>
      </c>
      <c r="L46" s="351">
        <v>30.37</v>
      </c>
      <c r="M46" s="351">
        <v>30.59</v>
      </c>
      <c r="N46" s="361">
        <v>30.81</v>
      </c>
      <c r="O46" s="351">
        <v>31.03</v>
      </c>
      <c r="P46" s="351">
        <v>31.25</v>
      </c>
      <c r="Q46" s="351">
        <v>31.49</v>
      </c>
      <c r="R46" s="351">
        <v>31.71</v>
      </c>
      <c r="S46" s="351">
        <v>31.93</v>
      </c>
      <c r="T46" s="351">
        <v>32.18</v>
      </c>
      <c r="U46" s="351">
        <v>32.42</v>
      </c>
      <c r="V46" s="351">
        <v>32.67</v>
      </c>
      <c r="W46" s="351">
        <v>32.909999999999997</v>
      </c>
      <c r="X46" s="369">
        <v>33.15</v>
      </c>
    </row>
    <row r="47" spans="1:24" ht="15.75" thickBot="1" x14ac:dyDescent="0.3">
      <c r="A47" s="303"/>
      <c r="B47" s="371">
        <f t="shared" si="2"/>
        <v>1.0233999999999996</v>
      </c>
      <c r="C47" s="304"/>
      <c r="D47" s="304"/>
      <c r="E47" s="304"/>
      <c r="F47" s="304"/>
      <c r="G47" s="304"/>
      <c r="H47" s="304"/>
      <c r="I47" s="304"/>
      <c r="J47" s="367">
        <v>30.2</v>
      </c>
      <c r="K47" s="351">
        <v>30.42</v>
      </c>
      <c r="L47" s="351">
        <v>30.62</v>
      </c>
      <c r="M47" s="351">
        <v>30.86</v>
      </c>
      <c r="N47" s="361">
        <v>31.05</v>
      </c>
      <c r="O47" s="351">
        <v>31.3</v>
      </c>
      <c r="P47" s="351">
        <v>31.52</v>
      </c>
      <c r="Q47" s="351">
        <v>31.74</v>
      </c>
      <c r="R47" s="351">
        <v>31.98</v>
      </c>
      <c r="S47" s="351">
        <v>32.200000000000003</v>
      </c>
      <c r="T47" s="351">
        <v>32.450000000000003</v>
      </c>
      <c r="U47" s="351">
        <v>32.69</v>
      </c>
      <c r="V47" s="351">
        <v>32.93</v>
      </c>
      <c r="W47" s="351">
        <v>33.18</v>
      </c>
      <c r="X47" s="369">
        <v>33.42</v>
      </c>
    </row>
    <row r="48" spans="1:24" ht="15.75" thickBot="1" x14ac:dyDescent="0.3">
      <c r="A48" s="303"/>
      <c r="B48" s="371">
        <f t="shared" si="2"/>
        <v>1.0235999999999996</v>
      </c>
      <c r="C48" s="304"/>
      <c r="D48" s="304"/>
      <c r="E48" s="304"/>
      <c r="F48" s="304"/>
      <c r="G48" s="304"/>
      <c r="H48" s="304"/>
      <c r="I48" s="304"/>
      <c r="J48" s="367">
        <v>30.47</v>
      </c>
      <c r="K48" s="351">
        <v>30.66</v>
      </c>
      <c r="L48" s="351">
        <v>30.88</v>
      </c>
      <c r="M48" s="351">
        <v>31.1</v>
      </c>
      <c r="N48" s="361">
        <v>31.32</v>
      </c>
      <c r="O48" s="351">
        <v>31.57</v>
      </c>
      <c r="P48" s="351">
        <v>31.79</v>
      </c>
      <c r="Q48" s="351">
        <v>32.01</v>
      </c>
      <c r="R48" s="351">
        <v>32.25</v>
      </c>
      <c r="S48" s="351">
        <v>32.47</v>
      </c>
      <c r="T48" s="351">
        <v>32.71</v>
      </c>
      <c r="U48" s="351">
        <v>32.96</v>
      </c>
      <c r="V48" s="351">
        <v>33.200000000000003</v>
      </c>
      <c r="W48" s="351">
        <v>33.450000000000003</v>
      </c>
      <c r="X48" s="369">
        <v>33.69</v>
      </c>
    </row>
    <row r="49" spans="1:24" ht="15.75" thickBot="1" x14ac:dyDescent="0.3">
      <c r="A49" s="303"/>
      <c r="B49" s="371">
        <f t="shared" si="2"/>
        <v>1.0237999999999996</v>
      </c>
      <c r="C49" s="304"/>
      <c r="D49" s="304"/>
      <c r="E49" s="304"/>
      <c r="F49" s="304"/>
      <c r="G49" s="304"/>
      <c r="H49" s="304"/>
      <c r="I49" s="304"/>
      <c r="J49" s="367">
        <v>30.71</v>
      </c>
      <c r="K49" s="351">
        <v>30.93</v>
      </c>
      <c r="L49" s="351">
        <v>31.15</v>
      </c>
      <c r="M49" s="351">
        <v>31.37</v>
      </c>
      <c r="N49" s="361">
        <v>31.59</v>
      </c>
      <c r="O49" s="351">
        <v>31.81</v>
      </c>
      <c r="P49" s="351">
        <v>32.06</v>
      </c>
      <c r="Q49" s="351">
        <v>32.270000000000003</v>
      </c>
      <c r="R49" s="351">
        <v>32.520000000000003</v>
      </c>
      <c r="S49" s="351">
        <v>32.74</v>
      </c>
      <c r="T49" s="351">
        <v>32.979999999999997</v>
      </c>
      <c r="U49" s="351">
        <v>33.229999999999997</v>
      </c>
      <c r="V49" s="351">
        <v>33.47</v>
      </c>
      <c r="W49" s="351">
        <v>33.72</v>
      </c>
      <c r="X49" s="369">
        <v>33.96</v>
      </c>
    </row>
    <row r="50" spans="1:24" ht="15.75" thickBot="1" x14ac:dyDescent="0.3">
      <c r="A50" s="303"/>
      <c r="B50" s="371">
        <f t="shared" si="2"/>
        <v>1.0239999999999996</v>
      </c>
      <c r="C50" s="304">
        <v>32.200000000000003</v>
      </c>
      <c r="D50" s="304">
        <v>32.5</v>
      </c>
      <c r="E50" s="304">
        <v>32.6</v>
      </c>
      <c r="F50" s="304">
        <v>32.799999999999997</v>
      </c>
      <c r="G50" s="304">
        <v>32.9</v>
      </c>
      <c r="H50" s="304">
        <v>33.200000000000003</v>
      </c>
      <c r="I50" s="304">
        <v>33.299999999999997</v>
      </c>
      <c r="J50" s="367">
        <v>30.98</v>
      </c>
      <c r="K50" s="351">
        <v>31.2</v>
      </c>
      <c r="L50" s="351">
        <v>31.42</v>
      </c>
      <c r="M50" s="351">
        <v>31.64</v>
      </c>
      <c r="N50" s="361">
        <v>31.86</v>
      </c>
      <c r="O50" s="351">
        <v>32.08</v>
      </c>
      <c r="P50" s="351">
        <v>32.32</v>
      </c>
      <c r="Q50" s="351">
        <v>32.54</v>
      </c>
      <c r="R50" s="351">
        <v>32.76</v>
      </c>
      <c r="S50" s="351">
        <v>33.01</v>
      </c>
      <c r="T50" s="351">
        <v>33.25</v>
      </c>
      <c r="U50" s="351">
        <v>33.5</v>
      </c>
      <c r="V50" s="351">
        <v>33.74</v>
      </c>
      <c r="W50" s="351">
        <v>33.979999999999997</v>
      </c>
      <c r="X50" s="369">
        <v>34.229999999999997</v>
      </c>
    </row>
    <row r="51" spans="1:24" ht="15.75" thickBot="1" x14ac:dyDescent="0.3">
      <c r="A51" s="303"/>
      <c r="B51" s="371">
        <f t="shared" si="2"/>
        <v>1.0241999999999996</v>
      </c>
      <c r="C51" s="304"/>
      <c r="D51" s="304"/>
      <c r="E51" s="304"/>
      <c r="F51" s="304"/>
      <c r="G51" s="304"/>
      <c r="H51" s="304"/>
      <c r="I51" s="304"/>
      <c r="J51" s="367">
        <v>31.25</v>
      </c>
      <c r="K51" s="351">
        <v>31.47</v>
      </c>
      <c r="L51" s="351">
        <v>31.89</v>
      </c>
      <c r="M51" s="351">
        <v>31.91</v>
      </c>
      <c r="N51" s="361">
        <v>32.130000000000003</v>
      </c>
      <c r="O51" s="351">
        <v>32.35</v>
      </c>
      <c r="P51" s="351">
        <v>32.57</v>
      </c>
      <c r="Q51" s="351">
        <v>32.81</v>
      </c>
      <c r="R51" s="351">
        <v>33.03</v>
      </c>
      <c r="S51" s="351">
        <v>33.28</v>
      </c>
      <c r="T51" s="351">
        <v>33.520000000000003</v>
      </c>
      <c r="U51" s="351">
        <v>33.76</v>
      </c>
      <c r="V51" s="351">
        <v>34.01</v>
      </c>
      <c r="W51" s="351">
        <v>34.25</v>
      </c>
      <c r="X51" s="369">
        <v>34.5</v>
      </c>
    </row>
    <row r="52" spans="1:24" ht="15.75" thickBot="1" x14ac:dyDescent="0.3">
      <c r="A52" s="303"/>
      <c r="B52" s="371">
        <f t="shared" si="2"/>
        <v>1.0243999999999995</v>
      </c>
      <c r="C52" s="304"/>
      <c r="D52" s="304"/>
      <c r="E52" s="304"/>
      <c r="F52" s="304"/>
      <c r="G52" s="304"/>
      <c r="H52" s="304"/>
      <c r="I52" s="304"/>
      <c r="J52" s="367">
        <v>31.52</v>
      </c>
      <c r="K52" s="351">
        <v>31.74</v>
      </c>
      <c r="L52" s="351">
        <v>31.93</v>
      </c>
      <c r="M52" s="351">
        <v>32.18</v>
      </c>
      <c r="N52" s="361">
        <v>32.4</v>
      </c>
      <c r="O52" s="351">
        <v>32.619999999999997</v>
      </c>
      <c r="P52" s="351">
        <v>32.840000000000003</v>
      </c>
      <c r="Q52" s="351">
        <v>33.08</v>
      </c>
      <c r="R52" s="351">
        <v>33.299999999999997</v>
      </c>
      <c r="S52" s="351">
        <v>33.54</v>
      </c>
      <c r="T52" s="351">
        <v>33.79</v>
      </c>
      <c r="U52" s="351">
        <v>34.03</v>
      </c>
      <c r="V52" s="351">
        <v>34.28</v>
      </c>
      <c r="W52" s="351">
        <v>34.520000000000003</v>
      </c>
      <c r="X52" s="369">
        <v>34.770000000000003</v>
      </c>
    </row>
    <row r="53" spans="1:24" ht="15.75" thickBot="1" x14ac:dyDescent="0.3">
      <c r="A53" s="303"/>
      <c r="B53" s="371">
        <f t="shared" si="2"/>
        <v>1.0245999999999995</v>
      </c>
      <c r="C53" s="304"/>
      <c r="D53" s="304"/>
      <c r="E53" s="304"/>
      <c r="F53" s="304"/>
      <c r="G53" s="304"/>
      <c r="H53" s="304"/>
      <c r="I53" s="304"/>
      <c r="J53" s="367">
        <v>31.79</v>
      </c>
      <c r="K53" s="351">
        <v>31.98</v>
      </c>
      <c r="L53" s="351">
        <v>32.200000000000003</v>
      </c>
      <c r="M53" s="351">
        <v>32.42</v>
      </c>
      <c r="N53" s="361">
        <v>32.67</v>
      </c>
      <c r="O53" s="351">
        <v>32.89</v>
      </c>
      <c r="P53" s="351">
        <v>33.1</v>
      </c>
      <c r="Q53" s="351">
        <v>33.35</v>
      </c>
      <c r="R53" s="351">
        <v>33.57</v>
      </c>
      <c r="S53" s="351">
        <v>33.81</v>
      </c>
      <c r="T53" s="351">
        <v>34.06</v>
      </c>
      <c r="U53" s="351">
        <v>34.28</v>
      </c>
      <c r="V53" s="351">
        <v>34.549999999999997</v>
      </c>
      <c r="W53" s="351">
        <v>34.79</v>
      </c>
      <c r="X53" s="369">
        <v>35.03</v>
      </c>
    </row>
    <row r="54" spans="1:24" ht="15.75" thickBot="1" x14ac:dyDescent="0.3">
      <c r="A54" s="303"/>
      <c r="B54" s="371">
        <f t="shared" si="2"/>
        <v>1.0247999999999995</v>
      </c>
      <c r="C54" s="304"/>
      <c r="D54" s="304"/>
      <c r="E54" s="304"/>
      <c r="F54" s="304"/>
      <c r="G54" s="304"/>
      <c r="H54" s="304"/>
      <c r="I54" s="304"/>
      <c r="J54" s="367">
        <v>32.03</v>
      </c>
      <c r="K54" s="351">
        <v>32.25</v>
      </c>
      <c r="L54" s="351">
        <v>32.47</v>
      </c>
      <c r="M54" s="351">
        <v>32.69</v>
      </c>
      <c r="N54" s="361">
        <v>32.909999999999997</v>
      </c>
      <c r="O54" s="351">
        <v>33.15</v>
      </c>
      <c r="P54" s="351">
        <v>33.369999999999997</v>
      </c>
      <c r="Q54" s="351">
        <v>33.590000000000003</v>
      </c>
      <c r="R54" s="351">
        <v>33.840000000000003</v>
      </c>
      <c r="S54" s="351">
        <v>34.08</v>
      </c>
      <c r="T54" s="351">
        <v>34.33</v>
      </c>
      <c r="U54" s="351">
        <v>34.57</v>
      </c>
      <c r="V54" s="351">
        <v>34.81</v>
      </c>
      <c r="W54" s="351">
        <v>35.06</v>
      </c>
      <c r="X54" s="369">
        <v>35.299999999999997</v>
      </c>
    </row>
    <row r="55" spans="1:24" ht="15.75" thickBot="1" x14ac:dyDescent="0.3">
      <c r="A55" s="303"/>
      <c r="B55" s="371">
        <f t="shared" si="2"/>
        <v>1.0249999999999995</v>
      </c>
      <c r="C55" s="304">
        <v>33.700000000000003</v>
      </c>
      <c r="D55" s="304">
        <v>33.799999999999997</v>
      </c>
      <c r="E55" s="304">
        <v>33.9</v>
      </c>
      <c r="F55" s="304">
        <v>34.1</v>
      </c>
      <c r="G55" s="304">
        <v>34.200000000000003</v>
      </c>
      <c r="H55" s="304">
        <v>34.5</v>
      </c>
      <c r="I55" s="304">
        <v>34.6</v>
      </c>
      <c r="J55" s="367">
        <v>32.299999999999997</v>
      </c>
      <c r="K55" s="351">
        <v>32.520000000000003</v>
      </c>
      <c r="L55" s="351">
        <v>32.74</v>
      </c>
      <c r="M55" s="351">
        <v>32.96</v>
      </c>
      <c r="N55" s="361">
        <v>33.18</v>
      </c>
      <c r="O55" s="351">
        <v>33.42</v>
      </c>
      <c r="P55" s="351">
        <v>33.64</v>
      </c>
      <c r="Q55" s="351">
        <v>33.86</v>
      </c>
      <c r="R55" s="351">
        <v>34.11</v>
      </c>
      <c r="S55" s="351">
        <v>34.35</v>
      </c>
      <c r="T55" s="351">
        <v>34.590000000000003</v>
      </c>
      <c r="U55" s="351">
        <v>34.840000000000003</v>
      </c>
      <c r="V55" s="351">
        <v>35.08</v>
      </c>
      <c r="W55" s="351">
        <v>35.659999999999997</v>
      </c>
      <c r="X55" s="369">
        <v>35.57</v>
      </c>
    </row>
    <row r="56" spans="1:24" ht="15.75" thickBot="1" x14ac:dyDescent="0.3">
      <c r="A56" s="303"/>
      <c r="B56" s="371">
        <f t="shared" si="2"/>
        <v>1.0251999999999994</v>
      </c>
      <c r="C56" s="304"/>
      <c r="D56" s="304"/>
      <c r="E56" s="304"/>
      <c r="F56" s="304"/>
      <c r="G56" s="304"/>
      <c r="H56" s="304"/>
      <c r="I56" s="304"/>
      <c r="J56" s="367">
        <v>32.57</v>
      </c>
      <c r="K56" s="351">
        <v>32.79</v>
      </c>
      <c r="L56" s="351">
        <v>33.01</v>
      </c>
      <c r="M56" s="351">
        <v>33.229999999999997</v>
      </c>
      <c r="N56" s="361">
        <v>33.450000000000003</v>
      </c>
      <c r="O56" s="351">
        <v>33.69</v>
      </c>
      <c r="P56" s="351">
        <v>33.909999999999997</v>
      </c>
      <c r="Q56" s="351">
        <v>34.130000000000003</v>
      </c>
      <c r="R56" s="351">
        <v>34.380000000000003</v>
      </c>
      <c r="S56" s="351">
        <v>34.619999999999997</v>
      </c>
      <c r="T56" s="351">
        <v>34.86</v>
      </c>
      <c r="U56" s="351">
        <v>35.11</v>
      </c>
      <c r="V56" s="351">
        <v>35.35</v>
      </c>
      <c r="W56" s="351">
        <v>35.6</v>
      </c>
      <c r="X56" s="369">
        <v>35.840000000000003</v>
      </c>
    </row>
    <row r="57" spans="1:24" ht="15.75" thickBot="1" x14ac:dyDescent="0.3">
      <c r="A57" s="303"/>
      <c r="B57" s="371">
        <f t="shared" si="2"/>
        <v>1.0253999999999994</v>
      </c>
      <c r="C57" s="304"/>
      <c r="D57" s="304"/>
      <c r="E57" s="304"/>
      <c r="F57" s="304"/>
      <c r="G57" s="304"/>
      <c r="H57" s="304"/>
      <c r="I57" s="304"/>
      <c r="J57" s="367">
        <v>32.840000000000003</v>
      </c>
      <c r="K57" s="351">
        <v>33.06</v>
      </c>
      <c r="L57" s="351">
        <v>33.25</v>
      </c>
      <c r="M57" s="351">
        <v>33.5</v>
      </c>
      <c r="N57" s="361">
        <v>33.72</v>
      </c>
      <c r="O57" s="351">
        <v>33.93</v>
      </c>
      <c r="P57" s="351">
        <v>34.18</v>
      </c>
      <c r="Q57" s="351">
        <v>34.4</v>
      </c>
      <c r="R57" s="351">
        <v>34.64</v>
      </c>
      <c r="S57" s="351">
        <v>34.89</v>
      </c>
      <c r="T57" s="351">
        <v>35.11</v>
      </c>
      <c r="U57" s="351">
        <v>35.35</v>
      </c>
      <c r="V57" s="351">
        <v>35.6</v>
      </c>
      <c r="W57" s="351">
        <v>35.840000000000003</v>
      </c>
      <c r="X57" s="369">
        <v>36.659999999999997</v>
      </c>
    </row>
    <row r="58" spans="1:24" ht="15.75" thickBot="1" x14ac:dyDescent="0.3">
      <c r="A58" s="303"/>
      <c r="B58" s="371">
        <f t="shared" si="2"/>
        <v>1.0255999999999994</v>
      </c>
      <c r="C58" s="304"/>
      <c r="D58" s="304"/>
      <c r="E58" s="304"/>
      <c r="F58" s="304"/>
      <c r="G58" s="304"/>
      <c r="H58" s="304"/>
      <c r="I58" s="304"/>
      <c r="J58" s="367">
        <v>33.08</v>
      </c>
      <c r="K58" s="351">
        <v>33.299999999999997</v>
      </c>
      <c r="L58" s="351">
        <v>33.520000000000003</v>
      </c>
      <c r="M58" s="351">
        <v>33.74</v>
      </c>
      <c r="N58" s="361">
        <v>33.979999999999997</v>
      </c>
      <c r="O58" s="351">
        <v>34.200000000000003</v>
      </c>
      <c r="P58" s="351">
        <v>34.42</v>
      </c>
      <c r="Q58" s="351">
        <v>34.67</v>
      </c>
      <c r="R58" s="351">
        <v>34.909999999999997</v>
      </c>
      <c r="S58" s="351">
        <v>35.159999999999997</v>
      </c>
      <c r="T58" s="351">
        <v>35.380000000000003</v>
      </c>
      <c r="U58" s="351">
        <v>35.619999999999997</v>
      </c>
      <c r="V58" s="351">
        <v>35.86</v>
      </c>
      <c r="W58" s="351">
        <v>36.11</v>
      </c>
      <c r="X58" s="369">
        <v>36.380000000000003</v>
      </c>
    </row>
    <row r="59" spans="1:24" ht="15.75" thickBot="1" x14ac:dyDescent="0.3">
      <c r="A59" s="303"/>
      <c r="B59" s="371">
        <f t="shared" si="2"/>
        <v>1.0257999999999994</v>
      </c>
      <c r="C59" s="304"/>
      <c r="D59" s="304"/>
      <c r="E59" s="304"/>
      <c r="F59" s="304"/>
      <c r="G59" s="304"/>
      <c r="H59" s="304"/>
      <c r="I59" s="304"/>
      <c r="J59" s="367">
        <v>33.35</v>
      </c>
      <c r="K59" s="351">
        <v>33.57</v>
      </c>
      <c r="L59" s="351">
        <v>33.79</v>
      </c>
      <c r="M59" s="351">
        <v>34.01</v>
      </c>
      <c r="N59" s="361">
        <v>34.229999999999997</v>
      </c>
      <c r="O59" s="351">
        <v>34.47</v>
      </c>
      <c r="P59" s="351">
        <v>34.69</v>
      </c>
      <c r="Q59" s="351">
        <v>34.94</v>
      </c>
      <c r="R59" s="351">
        <v>35.159999999999997</v>
      </c>
      <c r="S59" s="351">
        <v>35.4</v>
      </c>
      <c r="T59" s="351">
        <v>35.340000000000003</v>
      </c>
      <c r="U59" s="351">
        <v>35.89</v>
      </c>
      <c r="V59" s="351">
        <v>36.130000000000003</v>
      </c>
      <c r="W59" s="351">
        <v>36.450000000000003</v>
      </c>
      <c r="X59" s="369">
        <v>36.65</v>
      </c>
    </row>
    <row r="60" spans="1:24" ht="15.75" thickBot="1" x14ac:dyDescent="0.3">
      <c r="A60" s="303"/>
      <c r="B60" s="371">
        <f t="shared" si="2"/>
        <v>1.0259999999999994</v>
      </c>
      <c r="C60" s="304">
        <v>35</v>
      </c>
      <c r="D60" s="304">
        <v>35.1</v>
      </c>
      <c r="E60" s="304">
        <v>35.200000000000003</v>
      </c>
      <c r="F60" s="304">
        <v>35.4</v>
      </c>
      <c r="G60" s="304">
        <v>35.6</v>
      </c>
      <c r="H60" s="304">
        <v>35.799999999999997</v>
      </c>
      <c r="I60" s="304">
        <v>35.9</v>
      </c>
      <c r="J60" s="367">
        <v>33.619999999999997</v>
      </c>
      <c r="K60" s="351">
        <v>33.840000000000003</v>
      </c>
      <c r="L60" s="351">
        <v>34.06</v>
      </c>
      <c r="M60" s="351">
        <v>34.28</v>
      </c>
      <c r="N60" s="361">
        <v>34.5</v>
      </c>
      <c r="O60" s="351">
        <v>34.74</v>
      </c>
      <c r="P60" s="351">
        <v>34.96</v>
      </c>
      <c r="Q60" s="351">
        <v>35.200000000000003</v>
      </c>
      <c r="R60" s="351">
        <v>35.42</v>
      </c>
      <c r="S60" s="351">
        <v>35.67</v>
      </c>
      <c r="T60" s="351">
        <v>35.909999999999997</v>
      </c>
      <c r="U60" s="351">
        <v>36.159999999999997</v>
      </c>
      <c r="V60" s="351">
        <v>36.43</v>
      </c>
      <c r="W60" s="351">
        <v>36.67</v>
      </c>
      <c r="X60" s="369">
        <v>36.909999999999997</v>
      </c>
    </row>
    <row r="61" spans="1:24" ht="15.75" thickBot="1" x14ac:dyDescent="0.3">
      <c r="A61" s="303"/>
      <c r="B61" s="371">
        <f t="shared" si="2"/>
        <v>1.0261999999999993</v>
      </c>
      <c r="C61" s="304"/>
      <c r="D61" s="304"/>
      <c r="E61" s="304"/>
      <c r="F61" s="304"/>
      <c r="G61" s="304"/>
      <c r="H61" s="304"/>
      <c r="I61" s="304"/>
      <c r="J61" s="367">
        <v>33.89</v>
      </c>
      <c r="K61" s="351">
        <v>34.08</v>
      </c>
      <c r="L61" s="351">
        <v>34.33</v>
      </c>
      <c r="M61" s="351">
        <v>34.549999999999997</v>
      </c>
      <c r="N61" s="361">
        <v>34.770000000000003</v>
      </c>
      <c r="O61" s="351">
        <v>35.01</v>
      </c>
      <c r="P61" s="351">
        <v>35.229999999999997</v>
      </c>
      <c r="Q61" s="351">
        <v>35.450000000000003</v>
      </c>
      <c r="R61" s="351">
        <v>35.69</v>
      </c>
      <c r="S61" s="351">
        <v>35.94</v>
      </c>
      <c r="T61" s="351">
        <v>36.18</v>
      </c>
      <c r="U61" s="351">
        <v>36.43</v>
      </c>
      <c r="V61" s="351">
        <v>36.67</v>
      </c>
      <c r="W61" s="351">
        <v>36.909999999999997</v>
      </c>
      <c r="X61" s="369">
        <v>37.18</v>
      </c>
    </row>
    <row r="62" spans="1:24" ht="15.75" thickBot="1" x14ac:dyDescent="0.3">
      <c r="A62" s="303"/>
      <c r="B62" s="371">
        <f t="shared" si="2"/>
        <v>1.0263999999999993</v>
      </c>
      <c r="C62" s="304"/>
      <c r="D62" s="304"/>
      <c r="E62" s="304"/>
      <c r="F62" s="304"/>
      <c r="G62" s="304"/>
      <c r="H62" s="304"/>
      <c r="I62" s="304"/>
      <c r="J62" s="367">
        <v>34.130000000000003</v>
      </c>
      <c r="K62" s="351">
        <v>34.35</v>
      </c>
      <c r="L62" s="351">
        <v>34.57</v>
      </c>
      <c r="M62" s="351">
        <v>34.81</v>
      </c>
      <c r="N62" s="361">
        <v>35.03</v>
      </c>
      <c r="O62" s="351">
        <v>35.25</v>
      </c>
      <c r="P62" s="351">
        <v>35.5</v>
      </c>
      <c r="Q62" s="351">
        <v>35.72</v>
      </c>
      <c r="R62" s="351">
        <v>35.96</v>
      </c>
      <c r="S62" s="351">
        <v>36.21</v>
      </c>
      <c r="T62" s="351">
        <v>36.450000000000003</v>
      </c>
      <c r="U62" s="351">
        <v>36.69</v>
      </c>
      <c r="V62" s="351">
        <v>36.94</v>
      </c>
      <c r="W62" s="351">
        <v>37.18</v>
      </c>
      <c r="X62" s="369">
        <v>37.450000000000003</v>
      </c>
    </row>
    <row r="63" spans="1:24" ht="15.75" thickBot="1" x14ac:dyDescent="0.3">
      <c r="A63" s="303"/>
      <c r="B63" s="371">
        <f t="shared" si="2"/>
        <v>1.0265999999999993</v>
      </c>
      <c r="C63" s="304"/>
      <c r="D63" s="304"/>
      <c r="E63" s="304"/>
      <c r="F63" s="304"/>
      <c r="G63" s="304"/>
      <c r="H63" s="304"/>
      <c r="I63" s="304"/>
      <c r="J63" s="367">
        <v>34.4</v>
      </c>
      <c r="K63" s="351">
        <v>34.619999999999997</v>
      </c>
      <c r="L63" s="351">
        <v>34.840000000000003</v>
      </c>
      <c r="M63" s="351">
        <v>35.06</v>
      </c>
      <c r="N63" s="361">
        <v>35.299999999999997</v>
      </c>
      <c r="O63" s="351">
        <v>35.520000000000003</v>
      </c>
      <c r="P63" s="351">
        <v>35.74</v>
      </c>
      <c r="Q63" s="351">
        <v>35.99</v>
      </c>
      <c r="R63" s="351">
        <v>36.229999999999997</v>
      </c>
      <c r="S63" s="351">
        <v>36.47</v>
      </c>
      <c r="T63" s="351">
        <v>36.72</v>
      </c>
      <c r="U63" s="351">
        <v>36.96</v>
      </c>
      <c r="V63" s="351">
        <v>37.21</v>
      </c>
      <c r="W63" s="351">
        <v>37.450000000000003</v>
      </c>
      <c r="X63" s="369">
        <v>37.700000000000003</v>
      </c>
    </row>
    <row r="64" spans="1:24" ht="15.75" thickBot="1" x14ac:dyDescent="0.3">
      <c r="A64" s="303"/>
      <c r="B64" s="371">
        <f t="shared" si="2"/>
        <v>1.0267999999999993</v>
      </c>
      <c r="C64" s="304"/>
      <c r="D64" s="304"/>
      <c r="E64" s="304"/>
      <c r="F64" s="304"/>
      <c r="G64" s="304"/>
      <c r="H64" s="304"/>
      <c r="I64" s="304"/>
      <c r="J64" s="367">
        <v>34.67</v>
      </c>
      <c r="K64" s="351">
        <v>34.89</v>
      </c>
      <c r="L64" s="351">
        <v>35.11</v>
      </c>
      <c r="M64" s="351">
        <v>35.33</v>
      </c>
      <c r="N64" s="361">
        <v>35.549999999999997</v>
      </c>
      <c r="O64" s="351">
        <v>35.79</v>
      </c>
      <c r="P64" s="351">
        <v>36.01</v>
      </c>
      <c r="Q64" s="351">
        <v>36.25</v>
      </c>
      <c r="R64" s="351">
        <v>36.5</v>
      </c>
      <c r="S64" s="351">
        <v>36.74</v>
      </c>
      <c r="T64" s="351">
        <v>36.99</v>
      </c>
      <c r="U64" s="351">
        <v>37.229999999999997</v>
      </c>
      <c r="V64" s="351">
        <v>37.479999999999997</v>
      </c>
      <c r="W64" s="351">
        <v>37.72</v>
      </c>
      <c r="X64" s="369">
        <v>37.96</v>
      </c>
    </row>
    <row r="65" spans="1:24" ht="15.75" thickBot="1" x14ac:dyDescent="0.3">
      <c r="A65" s="303"/>
      <c r="B65" s="371">
        <f t="shared" si="2"/>
        <v>1.0269999999999992</v>
      </c>
      <c r="C65" s="304">
        <v>36.299999999999997</v>
      </c>
      <c r="D65" s="304">
        <v>36.4</v>
      </c>
      <c r="E65" s="304">
        <v>36.5</v>
      </c>
      <c r="F65" s="304">
        <v>36.700000000000003</v>
      </c>
      <c r="G65" s="304">
        <v>36.9</v>
      </c>
      <c r="H65" s="304">
        <v>37.1</v>
      </c>
      <c r="I65" s="304">
        <v>37.200000000000003</v>
      </c>
      <c r="J65" s="367">
        <v>34.909999999999997</v>
      </c>
      <c r="K65" s="351">
        <v>35.159999999999997</v>
      </c>
      <c r="L65" s="351">
        <v>35.380000000000003</v>
      </c>
      <c r="M65" s="351">
        <v>35.6</v>
      </c>
      <c r="N65" s="361">
        <v>35.81</v>
      </c>
      <c r="O65" s="351">
        <v>36.06</v>
      </c>
      <c r="P65" s="351">
        <v>36.28</v>
      </c>
      <c r="Q65" s="351">
        <v>36.520000000000003</v>
      </c>
      <c r="R65" s="351">
        <v>36.770000000000003</v>
      </c>
      <c r="S65" s="351">
        <v>37.01</v>
      </c>
      <c r="T65" s="351">
        <v>37.26</v>
      </c>
      <c r="U65" s="351">
        <v>37.5</v>
      </c>
      <c r="V65" s="351">
        <v>37.74</v>
      </c>
      <c r="W65" s="351">
        <v>37.99</v>
      </c>
      <c r="X65" s="369">
        <v>38.229999999999997</v>
      </c>
    </row>
    <row r="66" spans="1:24" ht="15.75" thickBot="1" x14ac:dyDescent="0.3">
      <c r="A66" s="303"/>
      <c r="B66" s="372">
        <v>1.028</v>
      </c>
      <c r="C66" s="304">
        <v>37.6</v>
      </c>
      <c r="D66" s="304">
        <v>37.700000000000003</v>
      </c>
      <c r="E66" s="304">
        <v>37.799999999999997</v>
      </c>
      <c r="F66" s="304">
        <v>38.1</v>
      </c>
      <c r="G66" s="304">
        <v>38.200000000000003</v>
      </c>
      <c r="H66" s="304">
        <v>38.4</v>
      </c>
      <c r="I66" s="304">
        <v>38.5</v>
      </c>
      <c r="J66" s="364">
        <v>38.799999999999997</v>
      </c>
      <c r="K66" s="304">
        <v>38.9</v>
      </c>
      <c r="L66" s="304">
        <v>39.1</v>
      </c>
      <c r="M66" s="344">
        <v>39.299999999999997</v>
      </c>
      <c r="N66" s="362">
        <v>39.4</v>
      </c>
      <c r="O66" s="304">
        <v>39.700000000000003</v>
      </c>
      <c r="P66" s="304">
        <v>39.799999999999997</v>
      </c>
      <c r="Q66" s="304">
        <v>40.1</v>
      </c>
      <c r="R66" s="304">
        <v>40.200000000000003</v>
      </c>
      <c r="S66" s="304">
        <v>40.5</v>
      </c>
      <c r="T66" s="304">
        <v>40.700000000000003</v>
      </c>
      <c r="U66" s="304">
        <v>40.799999999999997</v>
      </c>
      <c r="V66" s="304">
        <v>41.1</v>
      </c>
      <c r="W66" s="304">
        <v>41.2</v>
      </c>
      <c r="X66" s="311">
        <v>41.5</v>
      </c>
    </row>
    <row r="67" spans="1:24" ht="15.75" thickBot="1" x14ac:dyDescent="0.3">
      <c r="A67" s="303"/>
      <c r="B67" s="372">
        <v>1.0289999999999999</v>
      </c>
      <c r="C67" s="304">
        <v>38.9</v>
      </c>
      <c r="D67" s="304">
        <v>39</v>
      </c>
      <c r="E67" s="304">
        <v>39.1</v>
      </c>
      <c r="F67" s="304">
        <v>39.4</v>
      </c>
      <c r="G67" s="304">
        <v>39.5</v>
      </c>
      <c r="H67" s="304">
        <v>39.700000000000003</v>
      </c>
      <c r="I67" s="304">
        <v>39.9</v>
      </c>
      <c r="J67" s="364">
        <v>40.1</v>
      </c>
      <c r="K67" s="304">
        <v>40.200000000000003</v>
      </c>
      <c r="L67" s="304">
        <v>40.5</v>
      </c>
      <c r="M67" s="344">
        <v>40.6</v>
      </c>
      <c r="N67" s="363">
        <v>40.799999999999997</v>
      </c>
      <c r="O67" s="304">
        <v>41</v>
      </c>
      <c r="P67" s="304">
        <v>41.2</v>
      </c>
      <c r="Q67" s="304">
        <v>41.4</v>
      </c>
      <c r="R67" s="304">
        <v>41.6</v>
      </c>
      <c r="S67" s="304">
        <v>41.8</v>
      </c>
      <c r="T67" s="304" t="s">
        <v>323</v>
      </c>
      <c r="U67" s="304" t="s">
        <v>323</v>
      </c>
      <c r="V67" s="304" t="s">
        <v>323</v>
      </c>
      <c r="W67" s="304" t="s">
        <v>323</v>
      </c>
      <c r="X67" s="311" t="s">
        <v>323</v>
      </c>
    </row>
    <row r="68" spans="1:24" ht="15.75" thickBot="1" x14ac:dyDescent="0.3">
      <c r="A68" s="303"/>
      <c r="B68" s="372">
        <v>1.03</v>
      </c>
      <c r="C68" s="304">
        <v>40.200000000000003</v>
      </c>
      <c r="D68" s="304">
        <v>40.299999999999997</v>
      </c>
      <c r="E68" s="304">
        <v>40.6</v>
      </c>
      <c r="F68" s="304">
        <v>40.700000000000003</v>
      </c>
      <c r="G68" s="304">
        <v>40.799999999999997</v>
      </c>
      <c r="H68" s="304">
        <v>41</v>
      </c>
      <c r="I68" s="304">
        <v>41.2</v>
      </c>
      <c r="J68" s="364">
        <v>41.4</v>
      </c>
      <c r="K68" s="304">
        <v>41.6</v>
      </c>
      <c r="L68" s="304">
        <v>41.8</v>
      </c>
      <c r="M68" s="304">
        <v>41.9</v>
      </c>
      <c r="N68" s="364" t="s">
        <v>323</v>
      </c>
      <c r="O68" s="304" t="s">
        <v>323</v>
      </c>
      <c r="P68" s="304" t="s">
        <v>323</v>
      </c>
      <c r="Q68" s="304" t="s">
        <v>323</v>
      </c>
      <c r="R68" s="304" t="s">
        <v>323</v>
      </c>
      <c r="S68" s="304" t="s">
        <v>323</v>
      </c>
      <c r="T68" s="304" t="s">
        <v>323</v>
      </c>
      <c r="U68" s="304" t="s">
        <v>323</v>
      </c>
      <c r="V68" s="304" t="s">
        <v>323</v>
      </c>
      <c r="W68" s="304" t="s">
        <v>323</v>
      </c>
      <c r="X68" s="311" t="s">
        <v>323</v>
      </c>
    </row>
    <row r="69" spans="1:24" ht="15.75" thickBot="1" x14ac:dyDescent="0.3">
      <c r="A69" s="303"/>
      <c r="B69" s="373">
        <v>1.0309999999999999</v>
      </c>
      <c r="C69" s="312">
        <v>41.5</v>
      </c>
      <c r="D69" s="312">
        <v>41.8</v>
      </c>
      <c r="E69" s="312">
        <v>41.9</v>
      </c>
      <c r="F69" s="312">
        <v>42</v>
      </c>
      <c r="G69" s="312">
        <v>42.1</v>
      </c>
      <c r="H69" s="312">
        <v>42.3</v>
      </c>
      <c r="I69" s="312">
        <v>42.5</v>
      </c>
      <c r="J69" s="365" t="s">
        <v>323</v>
      </c>
      <c r="K69" s="312" t="s">
        <v>323</v>
      </c>
      <c r="L69" s="312" t="s">
        <v>323</v>
      </c>
      <c r="M69" s="312" t="s">
        <v>323</v>
      </c>
      <c r="N69" s="365" t="s">
        <v>323</v>
      </c>
      <c r="O69" s="312" t="s">
        <v>323</v>
      </c>
      <c r="P69" s="312" t="s">
        <v>323</v>
      </c>
      <c r="Q69" s="312" t="s">
        <v>323</v>
      </c>
      <c r="R69" s="312" t="s">
        <v>323</v>
      </c>
      <c r="S69" s="312" t="s">
        <v>323</v>
      </c>
      <c r="T69" s="312" t="s">
        <v>323</v>
      </c>
      <c r="U69" s="312" t="s">
        <v>323</v>
      </c>
      <c r="V69" s="312" t="s">
        <v>323</v>
      </c>
      <c r="W69" s="312" t="s">
        <v>323</v>
      </c>
      <c r="X69" s="313" t="s">
        <v>323</v>
      </c>
    </row>
    <row r="70" spans="1:24" ht="15.75" thickTop="1" x14ac:dyDescent="0.25"/>
  </sheetData>
  <sheetProtection algorithmName="SHA-512" hashValue="hF0o8JYBEF6OW+/f98E4Bap4nFSsvm5L4aGaTOKSWHVTtaVnnRXWZmDZovffi0UArh5uJgV8DbwiJaMAUZDZyw==" saltValue="e8OXBp9+OY31Mx4m2Hqg+A==" spinCount="100000" sheet="1" objects="1" scenarios="1"/>
  <mergeCells count="4">
    <mergeCell ref="P2:S2"/>
    <mergeCell ref="U2:X2"/>
    <mergeCell ref="B2:E4"/>
    <mergeCell ref="M2:N2"/>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14</vt:i4>
      </vt:variant>
    </vt:vector>
  </HeadingPairs>
  <TitlesOfParts>
    <vt:vector size="23" baseType="lpstr">
      <vt:lpstr>Overview</vt:lpstr>
      <vt:lpstr>Salinity Calculations</vt:lpstr>
      <vt:lpstr>Water Medication Calculations</vt:lpstr>
      <vt:lpstr>Length weight calculator</vt:lpstr>
      <vt:lpstr>Medicated Food Calculator</vt:lpstr>
      <vt:lpstr>Sheet2</vt:lpstr>
      <vt:lpstr>Sheet1</vt:lpstr>
      <vt:lpstr>L-W-Table</vt:lpstr>
      <vt:lpstr>Salinity Table</vt:lpstr>
      <vt:lpstr>CommonName</vt:lpstr>
      <vt:lpstr>'L-W-Table'!Extract</vt:lpstr>
      <vt:lpstr>FoodIndexTable</vt:lpstr>
      <vt:lpstr>FoodNameTable</vt:lpstr>
      <vt:lpstr>FoodTable</vt:lpstr>
      <vt:lpstr>Group</vt:lpstr>
      <vt:lpstr>GroupUnique</vt:lpstr>
      <vt:lpstr>LWCT</vt:lpstr>
      <vt:lpstr>LWCTTable</vt:lpstr>
      <vt:lpstr>'L-W-Table'!Print_Area</vt:lpstr>
      <vt:lpstr>'Medicated Food Calculator'!Print_Area</vt:lpstr>
      <vt:lpstr>'Salinity Calculations'!Print_Area</vt:lpstr>
      <vt:lpstr>report1</vt:lpstr>
      <vt:lpstr>SG_TEMP_SAL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Fish Disease Calculators version 1</dc:title>
  <dc:subject>Saltwater Aquarium Fish Disease Calculators</dc:subject>
  <dc:creator>David Scarborough</dc:creator>
  <dc:description>This calculator is not to be used for monetary purposes without the written consent of the Author.
©David Scarborough, 2021,2023</dc:description>
  <cp:lastModifiedBy>David S</cp:lastModifiedBy>
  <cp:lastPrinted>2021-03-14T22:56:54Z</cp:lastPrinted>
  <dcterms:created xsi:type="dcterms:W3CDTF">2020-06-30T14:29:26Z</dcterms:created>
  <dcterms:modified xsi:type="dcterms:W3CDTF">2023-07-18T17:14:41Z</dcterms:modified>
  <cp:contentStatus>Version 1 7/18/2023</cp:contentStatus>
</cp:coreProperties>
</file>