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D0010A8-48A4-443C-A392-2E88FB8C21F5}" xr6:coauthVersionLast="47" xr6:coauthVersionMax="47" xr10:uidLastSave="{00000000-0000-0000-0000-000000000000}"/>
  <bookViews>
    <workbookView xWindow="-108" yWindow="-108" windowWidth="23256" windowHeight="12456" xr2:uid="{CE2B22BE-7200-488B-B059-BA2D1392BBCA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  <c r="Q4" i="1"/>
  <c r="W5" i="1"/>
  <c r="W6" i="1"/>
  <c r="W7" i="1"/>
  <c r="W8" i="1"/>
  <c r="W9" i="1"/>
  <c r="W10" i="1"/>
  <c r="W11" i="1"/>
  <c r="W12" i="1"/>
  <c r="W13" i="1"/>
  <c r="W14" i="1"/>
  <c r="W15" i="1"/>
  <c r="X5" i="1"/>
  <c r="X6" i="1"/>
  <c r="X7" i="1"/>
  <c r="X8" i="1"/>
  <c r="X9" i="1"/>
  <c r="X4" i="1"/>
  <c r="L15" i="1"/>
  <c r="X15" i="1" s="1"/>
  <c r="L14" i="1"/>
  <c r="X14" i="1" s="1"/>
  <c r="L13" i="1"/>
  <c r="X13" i="1" s="1"/>
  <c r="L12" i="1"/>
  <c r="X12" i="1" s="1"/>
  <c r="K14" i="1"/>
  <c r="K15" i="1"/>
  <c r="K12" i="1"/>
  <c r="K13" i="1"/>
  <c r="L11" i="1"/>
  <c r="X11" i="1" s="1"/>
  <c r="K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1" i="1"/>
  <c r="O11" i="1"/>
  <c r="P11" i="1"/>
  <c r="Q11" i="1"/>
  <c r="R11" i="1"/>
  <c r="S11" i="1"/>
  <c r="T11" i="1"/>
  <c r="U11" i="1"/>
  <c r="V11" i="1"/>
  <c r="O10" i="1"/>
  <c r="P10" i="1"/>
  <c r="Q10" i="1"/>
  <c r="R10" i="1"/>
  <c r="S10" i="1"/>
  <c r="T10" i="1"/>
  <c r="U10" i="1"/>
  <c r="K10" i="1"/>
  <c r="L10" i="1"/>
  <c r="X10" i="1" s="1"/>
  <c r="G7" i="1"/>
  <c r="G8" i="1"/>
  <c r="G9" i="1"/>
  <c r="G6" i="1"/>
  <c r="R6" i="1"/>
  <c r="R7" i="1"/>
  <c r="R8" i="1"/>
  <c r="R9" i="1"/>
  <c r="P6" i="1"/>
  <c r="P7" i="1"/>
  <c r="P8" i="1"/>
  <c r="P9" i="1"/>
  <c r="O6" i="1"/>
  <c r="Q6" i="1" s="1"/>
  <c r="O7" i="1"/>
  <c r="Q7" i="1" s="1"/>
  <c r="O8" i="1"/>
  <c r="Q8" i="1" s="1"/>
  <c r="O9" i="1"/>
  <c r="Q9" i="1" s="1"/>
  <c r="K6" i="1"/>
  <c r="N6" i="1" s="1"/>
  <c r="K7" i="1"/>
  <c r="N7" i="1" s="1"/>
  <c r="K8" i="1"/>
  <c r="N8" i="1" s="1"/>
  <c r="K9" i="1"/>
  <c r="N9" i="1" s="1"/>
  <c r="P5" i="1"/>
  <c r="O4" i="1"/>
  <c r="S4" i="1" s="1"/>
  <c r="O5" i="1"/>
  <c r="Q5" i="1" s="1"/>
  <c r="S5" i="1" s="1"/>
  <c r="R5" i="1"/>
  <c r="R4" i="1"/>
  <c r="K5" i="1"/>
  <c r="N5" i="1" s="1"/>
  <c r="K4" i="1"/>
  <c r="N4" i="1" s="1"/>
  <c r="N10" i="1" l="1"/>
  <c r="V10" i="1" s="1"/>
  <c r="S9" i="1"/>
  <c r="T9" i="1" s="1"/>
  <c r="U9" i="1" s="1"/>
  <c r="V9" i="1" s="1"/>
  <c r="S8" i="1"/>
  <c r="T8" i="1" s="1"/>
  <c r="U8" i="1" s="1"/>
  <c r="V8" i="1" s="1"/>
  <c r="S7" i="1"/>
  <c r="T7" i="1" s="1"/>
  <c r="U7" i="1" s="1"/>
  <c r="V7" i="1" s="1"/>
  <c r="S6" i="1"/>
  <c r="T6" i="1" s="1"/>
  <c r="U6" i="1" s="1"/>
  <c r="V6" i="1" s="1"/>
  <c r="T5" i="1"/>
  <c r="U5" i="1" s="1"/>
  <c r="V5" i="1" s="1"/>
  <c r="T4" i="1" l="1"/>
  <c r="U4" i="1" s="1"/>
  <c r="V4" i="1" s="1"/>
  <c r="W4" i="1" s="1"/>
</calcChain>
</file>

<file path=xl/sharedStrings.xml><?xml version="1.0" encoding="utf-8"?>
<sst xmlns="http://schemas.openxmlformats.org/spreadsheetml/2006/main" count="73" uniqueCount="53">
  <si>
    <r>
      <rPr>
        <b/>
        <sz val="12"/>
        <color rgb="FF000000"/>
        <rFont val="Calibri"/>
      </rPr>
      <t xml:space="preserve">UV Dose Calculator using the Keitz equation: Irradiance </t>
    </r>
    <r>
      <rPr>
        <b/>
        <i/>
        <sz val="12"/>
        <color rgb="FF000000"/>
        <rFont val="Calibri"/>
      </rPr>
      <t>(E) = P/(2LDπ²)*(2α+Sin2α).</t>
    </r>
    <r>
      <rPr>
        <b/>
        <sz val="12"/>
        <color rgb="FF000000"/>
        <rFont val="Calibri"/>
      </rPr>
      <t xml:space="preserve"> </t>
    </r>
    <r>
      <rPr>
        <b/>
        <sz val="10"/>
        <color rgb="FF000000"/>
        <rFont val="Calibri"/>
      </rPr>
      <t>This table will calculate the UVc dose at the midpoint between the quartz tube and chamber wall.</t>
    </r>
    <r>
      <rPr>
        <b/>
        <sz val="12"/>
        <color rgb="FF000000"/>
        <rFont val="Calibri"/>
      </rPr>
      <t xml:space="preserve"> </t>
    </r>
    <r>
      <rPr>
        <b/>
        <sz val="10"/>
        <color rgb="FF000000"/>
        <rFont val="Calibri"/>
      </rPr>
      <t>Note that the UVc emmited by the lamp is not the same as its standard power consumption rating, you need to look up the lamp specifications to find this.</t>
    </r>
  </si>
  <si>
    <t>System Info</t>
  </si>
  <si>
    <t>Input parameters</t>
  </si>
  <si>
    <t>Formulae</t>
  </si>
  <si>
    <t>Output</t>
  </si>
  <si>
    <t>System description</t>
  </si>
  <si>
    <t>UV model</t>
  </si>
  <si>
    <t>Lamp model</t>
  </si>
  <si>
    <t>UVc output of lamp (watts)</t>
  </si>
  <si>
    <t>Lamp arc length (cm)</t>
  </si>
  <si>
    <t>Inner diameter of chamber (cm)</t>
  </si>
  <si>
    <t>Outer diameter of quartz tube (cm)</t>
  </si>
  <si>
    <t>Water volume of unit (litres) as measured directly</t>
  </si>
  <si>
    <t>Number of units</t>
  </si>
  <si>
    <t>Total volume of units (litres)</t>
  </si>
  <si>
    <t>Flow rate (litres per minute)</t>
  </si>
  <si>
    <t>*Optional*Max system volume (litres)</t>
  </si>
  <si>
    <t>UV contact time (seconds)</t>
  </si>
  <si>
    <t>Distance from quartz tube to chamber wall (cm)</t>
  </si>
  <si>
    <r>
      <rPr>
        <b/>
        <sz val="10"/>
        <color rgb="FF000000"/>
        <rFont val="Calibri"/>
      </rPr>
      <t xml:space="preserve">Arc length of lamp (meters) </t>
    </r>
    <r>
      <rPr>
        <b/>
        <i/>
        <sz val="14"/>
        <color rgb="FF000000"/>
        <rFont val="Calibri"/>
      </rPr>
      <t>(L)</t>
    </r>
  </si>
  <si>
    <r>
      <t xml:space="preserve">Midpoint between quartz tube and chamber wall) (meters) </t>
    </r>
    <r>
      <rPr>
        <b/>
        <i/>
        <sz val="14"/>
        <color rgb="FF000000"/>
        <rFont val="Calibri"/>
      </rPr>
      <t>(D)</t>
    </r>
  </si>
  <si>
    <r>
      <t xml:space="preserve">UVc power (watts) </t>
    </r>
    <r>
      <rPr>
        <b/>
        <i/>
        <sz val="14"/>
        <color theme="1"/>
        <rFont val="Calibri"/>
        <family val="2"/>
        <scheme val="minor"/>
      </rPr>
      <t>(P)</t>
    </r>
  </si>
  <si>
    <r>
      <t xml:space="preserve">ArcTan L/2D </t>
    </r>
    <r>
      <rPr>
        <b/>
        <i/>
        <sz val="14"/>
        <color theme="1"/>
        <rFont val="Calibri"/>
        <family val="2"/>
        <scheme val="minor"/>
      </rPr>
      <t>(α)</t>
    </r>
  </si>
  <si>
    <r>
      <t xml:space="preserve">Dose (Watts/m²) </t>
    </r>
    <r>
      <rPr>
        <b/>
        <i/>
        <sz val="14"/>
        <color theme="1"/>
        <rFont val="Calibri"/>
        <family val="2"/>
        <scheme val="minor"/>
      </rPr>
      <t>(E)</t>
    </r>
  </si>
  <si>
    <t>Dose µWatt/cm²</t>
  </si>
  <si>
    <t>Total dose (µJ/cm²) new lamp</t>
  </si>
  <si>
    <t>Total dose (µJ/cm²) end of lamp life (1 year, 80% UV power)</t>
  </si>
  <si>
    <t>System turnover rate per hour</t>
  </si>
  <si>
    <t>Sanger system UV's</t>
  </si>
  <si>
    <t>Max system flow (according to flow meters)</t>
  </si>
  <si>
    <t>TMC commercial P1 55</t>
  </si>
  <si>
    <t>G55T8</t>
  </si>
  <si>
    <t>Blue system killifish C3</t>
  </si>
  <si>
    <t>Current system flow</t>
  </si>
  <si>
    <t>TMC Vecton Titan 850</t>
  </si>
  <si>
    <t>G25T8</t>
  </si>
  <si>
    <t>Central services storage tanks</t>
  </si>
  <si>
    <t>ST01 pump @ 5m head</t>
  </si>
  <si>
    <t>Custom</t>
  </si>
  <si>
    <t>TUV PL-L 55W</t>
  </si>
  <si>
    <t>ST03 pump @ 5m head</t>
  </si>
  <si>
    <t>ST04 pump @ 5m head</t>
  </si>
  <si>
    <t>ST05 pump @ 5m head</t>
  </si>
  <si>
    <t>EMFF A</t>
  </si>
  <si>
    <t>All tanks at suggested flow rate</t>
  </si>
  <si>
    <t>Sita UV PE 5</t>
  </si>
  <si>
    <t>75 watt t5 UVc</t>
  </si>
  <si>
    <t>EMFF B</t>
  </si>
  <si>
    <t>Tropical</t>
  </si>
  <si>
    <t>Ornamental</t>
  </si>
  <si>
    <t>Sita UV PE 3</t>
  </si>
  <si>
    <t>Twin A</t>
  </si>
  <si>
    <t>Twin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</si>
</sst>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rgb="FF000000"/>
      <name val="Calibri"/>
    </font>
    <font>
      <b/>
      <i/>
      <sz val="14"/>
      <color rgb="FF000000"/>
      <name val="Calibri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0000"/>
      <name val="Calibri"/>
    </font>
    <font>
      <b/>
      <i/>
      <sz val="12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/>
    <xf numFmtId="164" fontId="0" fillId="0" borderId="0" xfId="0" applyNumberFormat="1"/>
    <xf numFmtId="0" fontId="9" fillId="0" borderId="2" xfId="0" applyFont="1" applyBorder="1" applyAlignment="1">
      <alignment horizontal="left" vertical="top" wrapText="1"/>
    </xf>
    <xf numFmtId="0" fontId="0" fillId="3" borderId="2" xfId="0" applyFill="1" applyBorder="1"/>
    <xf numFmtId="164" fontId="1" fillId="2" borderId="2" xfId="0" applyNumberFormat="1" applyFont="1" applyFill="1" applyBorder="1"/>
    <xf numFmtId="0" fontId="9" fillId="0" borderId="2" xfId="0" applyFont="1" applyBorder="1" applyAlignment="1">
      <alignment vertical="top"/>
    </xf>
    <xf numFmtId="0" fontId="0" fillId="0" borderId="2" xfId="0" applyBorder="1" applyAlignment="1">
      <alignment horizontal="right"/>
    </xf>
    <xf numFmtId="0" fontId="3" fillId="3" borderId="7" xfId="0" applyFont="1" applyFill="1" applyBorder="1" applyAlignment="1">
      <alignment horizontal="left" vertical="top" wrapText="1"/>
    </xf>
    <xf numFmtId="0" fontId="7" fillId="3" borderId="7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164" fontId="3" fillId="2" borderId="7" xfId="0" applyNumberFormat="1" applyFont="1" applyFill="1" applyBorder="1" applyAlignment="1">
      <alignment horizontal="left" vertical="top" wrapText="1"/>
    </xf>
    <xf numFmtId="164" fontId="3" fillId="2" borderId="8" xfId="0" applyNumberFormat="1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right" wrapText="1"/>
    </xf>
    <xf numFmtId="0" fontId="0" fillId="0" borderId="5" xfId="0" applyBorder="1"/>
    <xf numFmtId="0" fontId="0" fillId="3" borderId="5" xfId="0" applyFill="1" applyBorder="1"/>
    <xf numFmtId="164" fontId="1" fillId="2" borderId="5" xfId="0" applyNumberFormat="1" applyFont="1" applyFill="1" applyBorder="1"/>
    <xf numFmtId="0" fontId="10" fillId="0" borderId="2" xfId="0" applyFont="1" applyBorder="1" applyAlignment="1">
      <alignment wrapText="1"/>
    </xf>
    <xf numFmtId="0" fontId="3" fillId="0" borderId="2" xfId="0" applyFont="1" applyBorder="1"/>
    <xf numFmtId="0" fontId="2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2" xfId="0" applyFont="1" applyBorder="1" applyAlignment="1">
      <alignment vertical="top" wrapText="1"/>
    </xf>
    <xf numFmtId="0" fontId="3" fillId="3" borderId="9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3" borderId="1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10" fillId="0" borderId="2" xfId="0" applyFont="1" applyBorder="1"/>
    <xf numFmtId="0" fontId="9" fillId="0" borderId="8" xfId="0" applyFont="1" applyBorder="1" applyAlignment="1">
      <alignment horizontal="left" vertical="top" wrapText="1"/>
    </xf>
    <xf numFmtId="0" fontId="1" fillId="0" borderId="2" xfId="0" applyFont="1" applyBorder="1"/>
    <xf numFmtId="0" fontId="1" fillId="0" borderId="8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4" fontId="3" fillId="2" borderId="6" xfId="0" applyNumberFormat="1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left" vertical="top" wrapText="1"/>
    </xf>
    <xf numFmtId="0" fontId="0" fillId="4" borderId="5" xfId="0" applyFill="1" applyBorder="1"/>
    <xf numFmtId="0" fontId="0" fillId="4" borderId="2" xfId="0" applyFill="1" applyBorder="1"/>
    <xf numFmtId="0" fontId="11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4" fillId="3" borderId="0" xfId="0" applyFont="1" applyFill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B6B5F-1C11-40F9-9576-1B7B8917EFDC}">
  <dimension ref="A1:X15"/>
  <sheetViews>
    <sheetView tabSelected="1" zoomScale="90" zoomScaleNormal="90" workbookViewId="0">
      <selection activeCell="P5" sqref="P4:P5"/>
    </sheetView>
  </sheetViews>
  <sheetFormatPr defaultRowHeight="15" customHeight="1" x14ac:dyDescent="0.3"/>
  <cols>
    <col min="1" max="1" width="11" customWidth="1"/>
    <col min="2" max="2" width="29.109375" customWidth="1"/>
    <col min="3" max="3" width="10.88671875" customWidth="1"/>
    <col min="4" max="4" width="6.6640625" customWidth="1"/>
    <col min="5" max="5" width="7.33203125" customWidth="1"/>
    <col min="7" max="7" width="12.88671875" customWidth="1"/>
    <col min="8" max="8" width="9.6640625" customWidth="1"/>
    <col min="9" max="9" width="12.109375" customWidth="1"/>
    <col min="11" max="11" width="9.109375"/>
    <col min="15" max="15" width="13.6640625" customWidth="1"/>
    <col min="16" max="16" width="13.88671875" customWidth="1"/>
    <col min="17" max="17" width="17" customWidth="1"/>
    <col min="18" max="18" width="7.6640625" customWidth="1"/>
    <col min="19" max="19" width="7.5546875" customWidth="1"/>
    <col min="20" max="20" width="10.44140625" customWidth="1"/>
    <col min="21" max="21" width="9.6640625" customWidth="1"/>
    <col min="22" max="23" width="17" style="2" customWidth="1"/>
    <col min="24" max="24" width="12.88671875" style="2" customWidth="1"/>
    <col min="25" max="25" width="49.109375" customWidth="1"/>
  </cols>
  <sheetData>
    <row r="1" spans="1:24" ht="44.25" customHeight="1" x14ac:dyDescent="0.3">
      <c r="A1" s="37" t="s">
        <v>0</v>
      </c>
      <c r="B1" s="38"/>
      <c r="C1" s="38"/>
      <c r="D1" s="38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40"/>
    </row>
    <row r="2" spans="1:24" ht="44.25" customHeight="1" x14ac:dyDescent="0.3">
      <c r="A2" s="50" t="s">
        <v>1</v>
      </c>
      <c r="B2" s="51"/>
      <c r="C2" s="51"/>
      <c r="D2" s="52"/>
      <c r="E2" s="48" t="s">
        <v>2</v>
      </c>
      <c r="F2" s="48"/>
      <c r="G2" s="48"/>
      <c r="H2" s="48"/>
      <c r="I2" s="48"/>
      <c r="J2" s="48"/>
      <c r="K2" s="48"/>
      <c r="L2" s="48"/>
      <c r="M2" s="49"/>
      <c r="N2" s="44" t="s">
        <v>3</v>
      </c>
      <c r="O2" s="44"/>
      <c r="P2" s="44"/>
      <c r="Q2" s="44"/>
      <c r="R2" s="44"/>
      <c r="S2" s="44"/>
      <c r="T2" s="44"/>
      <c r="U2" s="44"/>
      <c r="V2" s="45" t="s">
        <v>4</v>
      </c>
      <c r="W2" s="46"/>
      <c r="X2" s="47"/>
    </row>
    <row r="3" spans="1:24" ht="67.95" customHeight="1" x14ac:dyDescent="0.3">
      <c r="A3" s="42" t="s">
        <v>5</v>
      </c>
      <c r="B3" s="43"/>
      <c r="C3" s="24" t="s">
        <v>6</v>
      </c>
      <c r="D3" s="31" t="s">
        <v>7</v>
      </c>
      <c r="E3" s="32" t="s">
        <v>8</v>
      </c>
      <c r="F3" s="25" t="s">
        <v>9</v>
      </c>
      <c r="G3" s="25" t="s">
        <v>10</v>
      </c>
      <c r="H3" s="25" t="s">
        <v>11</v>
      </c>
      <c r="I3" s="25" t="s">
        <v>12</v>
      </c>
      <c r="J3" s="25" t="s">
        <v>13</v>
      </c>
      <c r="K3" s="34" t="s">
        <v>14</v>
      </c>
      <c r="L3" s="25" t="s">
        <v>15</v>
      </c>
      <c r="M3" s="29" t="s">
        <v>16</v>
      </c>
      <c r="N3" s="26" t="s">
        <v>17</v>
      </c>
      <c r="O3" s="8" t="s">
        <v>18</v>
      </c>
      <c r="P3" s="9" t="s">
        <v>19</v>
      </c>
      <c r="Q3" s="9" t="s">
        <v>20</v>
      </c>
      <c r="R3" s="8" t="s">
        <v>21</v>
      </c>
      <c r="S3" s="10" t="s">
        <v>22</v>
      </c>
      <c r="T3" s="8" t="s">
        <v>23</v>
      </c>
      <c r="U3" s="23" t="s">
        <v>24</v>
      </c>
      <c r="V3" s="33" t="s">
        <v>25</v>
      </c>
      <c r="W3" s="11" t="s">
        <v>26</v>
      </c>
      <c r="X3" s="12" t="s">
        <v>27</v>
      </c>
    </row>
    <row r="4" spans="1:24" ht="24.75" customHeight="1" x14ac:dyDescent="0.3">
      <c r="A4" s="13" t="s">
        <v>28</v>
      </c>
      <c r="B4" s="13" t="s">
        <v>29</v>
      </c>
      <c r="C4" s="21" t="s">
        <v>30</v>
      </c>
      <c r="D4" s="20" t="s">
        <v>31</v>
      </c>
      <c r="E4" s="14">
        <v>18</v>
      </c>
      <c r="F4" s="15">
        <v>84</v>
      </c>
      <c r="G4" s="15">
        <v>5.65</v>
      </c>
      <c r="H4" s="15">
        <v>3</v>
      </c>
      <c r="I4" s="15">
        <v>1.25</v>
      </c>
      <c r="J4" s="15">
        <v>4</v>
      </c>
      <c r="K4" s="35">
        <f>I4*J4</f>
        <v>5</v>
      </c>
      <c r="L4" s="15">
        <v>138</v>
      </c>
      <c r="M4" s="15">
        <v>1800</v>
      </c>
      <c r="N4" s="16">
        <f t="shared" ref="N4:N15" si="0">K4/(L4/60)</f>
        <v>2.1739130434782612</v>
      </c>
      <c r="O4" s="16">
        <f>(G4/2)-(H4/2)</f>
        <v>1.3250000000000002</v>
      </c>
      <c r="P4" s="4">
        <f>F4/100</f>
        <v>0.84</v>
      </c>
      <c r="Q4" s="4">
        <f t="shared" ref="Q4:Q15" si="1">((H4/2)+(O4/2))/100</f>
        <v>2.1625000000000002E-2</v>
      </c>
      <c r="R4" s="16">
        <f>E4</f>
        <v>18</v>
      </c>
      <c r="S4" s="16">
        <f>ATAN(P4/(2*Q4))</f>
        <v>1.5193536580471951</v>
      </c>
      <c r="T4" s="16">
        <f>(R4/(2*P4*Q4*PI()^2))*((2*S4)+SIN(2*S4))</f>
        <v>157.70016750162597</v>
      </c>
      <c r="U4" s="16">
        <f>T4*100</f>
        <v>15770.016750162597</v>
      </c>
      <c r="V4" s="17">
        <f>U4*N4</f>
        <v>34282.645109049125</v>
      </c>
      <c r="W4" s="17">
        <f>V4*0.8</f>
        <v>27426.116087239301</v>
      </c>
      <c r="X4" s="17">
        <f>(L4*60)/M4</f>
        <v>4.5999999999999996</v>
      </c>
    </row>
    <row r="5" spans="1:24" ht="24.75" customHeight="1" x14ac:dyDescent="0.3">
      <c r="A5" s="3" t="s">
        <v>32</v>
      </c>
      <c r="B5" s="6" t="s">
        <v>33</v>
      </c>
      <c r="C5" s="22" t="s">
        <v>34</v>
      </c>
      <c r="D5" s="27" t="s">
        <v>35</v>
      </c>
      <c r="E5" s="7">
        <v>6.9</v>
      </c>
      <c r="F5" s="1">
        <v>40</v>
      </c>
      <c r="G5" s="1">
        <v>4.5999999999999996</v>
      </c>
      <c r="H5" s="1">
        <v>3</v>
      </c>
      <c r="I5" s="1">
        <v>0.3</v>
      </c>
      <c r="J5" s="1">
        <v>1</v>
      </c>
      <c r="K5" s="36">
        <f>I5*J5</f>
        <v>0.3</v>
      </c>
      <c r="L5" s="1">
        <v>16</v>
      </c>
      <c r="M5" s="1">
        <v>300</v>
      </c>
      <c r="N5" s="4">
        <f t="shared" si="0"/>
        <v>1.125</v>
      </c>
      <c r="O5" s="4">
        <f>(G5/2)-(H5/2)</f>
        <v>0.79999999999999982</v>
      </c>
      <c r="P5" s="4">
        <f>F5/100</f>
        <v>0.4</v>
      </c>
      <c r="Q5" s="4">
        <f t="shared" si="1"/>
        <v>1.9E-2</v>
      </c>
      <c r="R5" s="4">
        <f t="shared" ref="R5:R9" si="2">E5</f>
        <v>6.9</v>
      </c>
      <c r="S5" s="4">
        <f>ATAN(P5/(2*Q5))</f>
        <v>1.4760805808064208</v>
      </c>
      <c r="T5" s="4">
        <f t="shared" ref="T5:T9" si="3">(R5/(2*P5*Q5*PI()^2))*((2*S5)+SIN(2*S5))</f>
        <v>144.44391979312252</v>
      </c>
      <c r="U5" s="4">
        <f t="shared" ref="U5:U9" si="4">T5*100</f>
        <v>14444.391979312251</v>
      </c>
      <c r="V5" s="5">
        <f>U5*N5</f>
        <v>16249.940976726282</v>
      </c>
      <c r="W5" s="17">
        <f t="shared" ref="W5:W15" si="5">V5*0.8</f>
        <v>12999.952781381027</v>
      </c>
      <c r="X5" s="5">
        <f t="shared" ref="X5:X15" si="6">(L5*60)/M5</f>
        <v>3.2</v>
      </c>
    </row>
    <row r="6" spans="1:24" ht="24.75" customHeight="1" x14ac:dyDescent="0.3">
      <c r="A6" s="41" t="s">
        <v>36</v>
      </c>
      <c r="B6" s="19" t="s">
        <v>37</v>
      </c>
      <c r="C6" s="28" t="s">
        <v>38</v>
      </c>
      <c r="D6" s="18" t="s">
        <v>39</v>
      </c>
      <c r="E6" s="1">
        <v>17</v>
      </c>
      <c r="F6" s="1">
        <v>49</v>
      </c>
      <c r="G6" s="1">
        <f>(7.75+9)/2</f>
        <v>8.375</v>
      </c>
      <c r="H6" s="1">
        <v>4.99</v>
      </c>
      <c r="I6" s="1">
        <v>2.25</v>
      </c>
      <c r="J6" s="1">
        <v>1</v>
      </c>
      <c r="K6" s="36">
        <f t="shared" ref="K6:K11" si="7">I6*J6</f>
        <v>2.25</v>
      </c>
      <c r="L6" s="1">
        <v>320</v>
      </c>
      <c r="M6" s="1">
        <v>20000</v>
      </c>
      <c r="N6" s="4">
        <f t="shared" si="0"/>
        <v>0.421875</v>
      </c>
      <c r="O6" s="4">
        <f t="shared" ref="O6:O9" si="8">(G6/2)-(H6/2)</f>
        <v>1.6924999999999999</v>
      </c>
      <c r="P6" s="4">
        <f t="shared" ref="P6:P9" si="9">F6/100</f>
        <v>0.49</v>
      </c>
      <c r="Q6" s="4">
        <f t="shared" si="1"/>
        <v>3.3412499999999998E-2</v>
      </c>
      <c r="R6" s="4">
        <f t="shared" si="2"/>
        <v>17</v>
      </c>
      <c r="S6" s="4">
        <f t="shared" ref="S6:S9" si="10">ATAN(P6/(2*Q6))</f>
        <v>1.4352549521981754</v>
      </c>
      <c r="T6" s="4">
        <f t="shared" si="3"/>
        <v>165.08456472529673</v>
      </c>
      <c r="U6" s="4">
        <f t="shared" si="4"/>
        <v>16508.456472529673</v>
      </c>
      <c r="V6" s="5">
        <f t="shared" ref="V6:V9" si="11">U6*N6</f>
        <v>6964.5050743484562</v>
      </c>
      <c r="W6" s="17">
        <f t="shared" si="5"/>
        <v>5571.6040594787655</v>
      </c>
      <c r="X6" s="5">
        <f t="shared" si="6"/>
        <v>0.96</v>
      </c>
    </row>
    <row r="7" spans="1:24" ht="24.75" customHeight="1" x14ac:dyDescent="0.3">
      <c r="A7" s="41"/>
      <c r="B7" s="19" t="s">
        <v>40</v>
      </c>
      <c r="C7" s="28" t="s">
        <v>38</v>
      </c>
      <c r="D7" s="18" t="s">
        <v>39</v>
      </c>
      <c r="E7" s="1">
        <v>17</v>
      </c>
      <c r="F7" s="1">
        <v>49</v>
      </c>
      <c r="G7" s="1">
        <f t="shared" ref="G7:G9" si="12">(7.75+9)/2</f>
        <v>8.375</v>
      </c>
      <c r="H7" s="1">
        <v>4.99</v>
      </c>
      <c r="I7" s="1">
        <v>2.25</v>
      </c>
      <c r="J7" s="1">
        <v>1</v>
      </c>
      <c r="K7" s="36">
        <f t="shared" si="7"/>
        <v>2.25</v>
      </c>
      <c r="L7" s="1">
        <v>310</v>
      </c>
      <c r="M7" s="1">
        <v>7000</v>
      </c>
      <c r="N7" s="4">
        <f t="shared" si="0"/>
        <v>0.43548387096774194</v>
      </c>
      <c r="O7" s="4">
        <f t="shared" si="8"/>
        <v>1.6924999999999999</v>
      </c>
      <c r="P7" s="4">
        <f t="shared" si="9"/>
        <v>0.49</v>
      </c>
      <c r="Q7" s="4">
        <f t="shared" si="1"/>
        <v>3.3412499999999998E-2</v>
      </c>
      <c r="R7" s="4">
        <f t="shared" si="2"/>
        <v>17</v>
      </c>
      <c r="S7" s="4">
        <f t="shared" si="10"/>
        <v>1.4352549521981754</v>
      </c>
      <c r="T7" s="4">
        <f t="shared" si="3"/>
        <v>165.08456472529673</v>
      </c>
      <c r="U7" s="4">
        <f t="shared" si="4"/>
        <v>16508.456472529673</v>
      </c>
      <c r="V7" s="5">
        <f t="shared" si="11"/>
        <v>7189.1665283596967</v>
      </c>
      <c r="W7" s="17">
        <f t="shared" si="5"/>
        <v>5751.3332226877574</v>
      </c>
      <c r="X7" s="5">
        <f t="shared" si="6"/>
        <v>2.657142857142857</v>
      </c>
    </row>
    <row r="8" spans="1:24" ht="24.75" customHeight="1" x14ac:dyDescent="0.3">
      <c r="A8" s="41"/>
      <c r="B8" s="19" t="s">
        <v>41</v>
      </c>
      <c r="C8" s="28" t="s">
        <v>38</v>
      </c>
      <c r="D8" s="18" t="s">
        <v>39</v>
      </c>
      <c r="E8" s="1">
        <v>17</v>
      </c>
      <c r="F8" s="1">
        <v>49</v>
      </c>
      <c r="G8" s="1">
        <f t="shared" si="12"/>
        <v>8.375</v>
      </c>
      <c r="H8" s="1">
        <v>4.99</v>
      </c>
      <c r="I8" s="1">
        <v>2.25</v>
      </c>
      <c r="J8" s="1">
        <v>1</v>
      </c>
      <c r="K8" s="36">
        <f t="shared" si="7"/>
        <v>2.25</v>
      </c>
      <c r="L8" s="1">
        <v>310</v>
      </c>
      <c r="M8" s="1">
        <v>7000</v>
      </c>
      <c r="N8" s="4">
        <f t="shared" si="0"/>
        <v>0.43548387096774194</v>
      </c>
      <c r="O8" s="4">
        <f t="shared" si="8"/>
        <v>1.6924999999999999</v>
      </c>
      <c r="P8" s="4">
        <f t="shared" si="9"/>
        <v>0.49</v>
      </c>
      <c r="Q8" s="4">
        <f t="shared" si="1"/>
        <v>3.3412499999999998E-2</v>
      </c>
      <c r="R8" s="4">
        <f t="shared" si="2"/>
        <v>17</v>
      </c>
      <c r="S8" s="4">
        <f t="shared" si="10"/>
        <v>1.4352549521981754</v>
      </c>
      <c r="T8" s="4">
        <f t="shared" si="3"/>
        <v>165.08456472529673</v>
      </c>
      <c r="U8" s="4">
        <f t="shared" si="4"/>
        <v>16508.456472529673</v>
      </c>
      <c r="V8" s="5">
        <f t="shared" si="11"/>
        <v>7189.1665283596967</v>
      </c>
      <c r="W8" s="17">
        <f t="shared" si="5"/>
        <v>5751.3332226877574</v>
      </c>
      <c r="X8" s="5">
        <f t="shared" si="6"/>
        <v>2.657142857142857</v>
      </c>
    </row>
    <row r="9" spans="1:24" ht="24.75" customHeight="1" x14ac:dyDescent="0.3">
      <c r="A9" s="41"/>
      <c r="B9" s="19" t="s">
        <v>42</v>
      </c>
      <c r="C9" s="28" t="s">
        <v>38</v>
      </c>
      <c r="D9" s="18" t="s">
        <v>39</v>
      </c>
      <c r="E9" s="1">
        <v>17</v>
      </c>
      <c r="F9" s="1">
        <v>49</v>
      </c>
      <c r="G9" s="1">
        <f t="shared" si="12"/>
        <v>8.375</v>
      </c>
      <c r="H9" s="1">
        <v>4.99</v>
      </c>
      <c r="I9" s="1">
        <v>2.25</v>
      </c>
      <c r="J9" s="1">
        <v>1</v>
      </c>
      <c r="K9" s="36">
        <f t="shared" si="7"/>
        <v>2.25</v>
      </c>
      <c r="L9" s="1">
        <v>180</v>
      </c>
      <c r="M9" s="1">
        <v>7000</v>
      </c>
      <c r="N9" s="4">
        <f t="shared" si="0"/>
        <v>0.75</v>
      </c>
      <c r="O9" s="4">
        <f t="shared" si="8"/>
        <v>1.6924999999999999</v>
      </c>
      <c r="P9" s="4">
        <f t="shared" si="9"/>
        <v>0.49</v>
      </c>
      <c r="Q9" s="4">
        <f t="shared" si="1"/>
        <v>3.3412499999999998E-2</v>
      </c>
      <c r="R9" s="4">
        <f t="shared" si="2"/>
        <v>17</v>
      </c>
      <c r="S9" s="4">
        <f t="shared" si="10"/>
        <v>1.4352549521981754</v>
      </c>
      <c r="T9" s="4">
        <f t="shared" si="3"/>
        <v>165.08456472529673</v>
      </c>
      <c r="U9" s="4">
        <f t="shared" si="4"/>
        <v>16508.456472529673</v>
      </c>
      <c r="V9" s="5">
        <f t="shared" si="11"/>
        <v>12381.342354397255</v>
      </c>
      <c r="W9" s="17">
        <f t="shared" si="5"/>
        <v>9905.0738835178054</v>
      </c>
      <c r="X9" s="5">
        <f t="shared" si="6"/>
        <v>1.5428571428571429</v>
      </c>
    </row>
    <row r="10" spans="1:24" ht="24.75" customHeight="1" x14ac:dyDescent="0.3">
      <c r="A10" s="30" t="s">
        <v>43</v>
      </c>
      <c r="B10" s="19" t="s">
        <v>44</v>
      </c>
      <c r="C10" s="28" t="s">
        <v>45</v>
      </c>
      <c r="D10" s="18" t="s">
        <v>46</v>
      </c>
      <c r="E10" s="1">
        <v>25</v>
      </c>
      <c r="F10" s="1">
        <v>77.5</v>
      </c>
      <c r="G10" s="1">
        <v>10.199999999999999</v>
      </c>
      <c r="H10" s="1">
        <v>2.2999999999999998</v>
      </c>
      <c r="I10" s="1">
        <v>5.5</v>
      </c>
      <c r="J10" s="1">
        <v>1</v>
      </c>
      <c r="K10" s="36">
        <f t="shared" si="7"/>
        <v>5.5</v>
      </c>
      <c r="L10" s="1">
        <f>(12*7)+(12*5)</f>
        <v>144</v>
      </c>
      <c r="M10" s="1">
        <v>5000</v>
      </c>
      <c r="N10" s="4">
        <f t="shared" si="0"/>
        <v>2.291666666666667</v>
      </c>
      <c r="O10" s="4">
        <f t="shared" ref="O10" si="13">(G10/2)-(H10/2)</f>
        <v>3.9499999999999997</v>
      </c>
      <c r="P10" s="4">
        <f t="shared" ref="P10" si="14">F10/100</f>
        <v>0.77500000000000002</v>
      </c>
      <c r="Q10" s="4">
        <f t="shared" si="1"/>
        <v>3.125E-2</v>
      </c>
      <c r="R10" s="4">
        <f t="shared" ref="R10" si="15">E10</f>
        <v>25</v>
      </c>
      <c r="S10" s="4">
        <f t="shared" ref="S10" si="16">ATAN(P10/(2*Q10))</f>
        <v>1.4903253155294358</v>
      </c>
      <c r="T10" s="4">
        <f t="shared" ref="T10" si="17">(R10/(2*P10*Q10*PI()^2))*((2*S10)+SIN(2*S10))</f>
        <v>164.25268633765339</v>
      </c>
      <c r="U10" s="4">
        <f t="shared" ref="U10" si="18">T10*100</f>
        <v>16425.268633765339</v>
      </c>
      <c r="V10" s="5">
        <f t="shared" ref="V10" si="19">U10*N10</f>
        <v>37641.240619045573</v>
      </c>
      <c r="W10" s="17">
        <f t="shared" si="5"/>
        <v>30112.99249523646</v>
      </c>
      <c r="X10" s="5">
        <f t="shared" si="6"/>
        <v>1.728</v>
      </c>
    </row>
    <row r="11" spans="1:24" ht="24.75" customHeight="1" x14ac:dyDescent="0.3">
      <c r="A11" s="30" t="s">
        <v>47</v>
      </c>
      <c r="B11" s="19" t="s">
        <v>44</v>
      </c>
      <c r="C11" s="28" t="s">
        <v>45</v>
      </c>
      <c r="D11" s="18" t="s">
        <v>46</v>
      </c>
      <c r="E11" s="1">
        <v>25</v>
      </c>
      <c r="F11" s="1">
        <v>77.5</v>
      </c>
      <c r="G11" s="1">
        <v>10.199999999999999</v>
      </c>
      <c r="H11" s="1">
        <v>2.2999999999999998</v>
      </c>
      <c r="I11" s="1">
        <v>5.5</v>
      </c>
      <c r="J11" s="1">
        <v>1</v>
      </c>
      <c r="K11" s="36">
        <f t="shared" si="7"/>
        <v>5.5</v>
      </c>
      <c r="L11" s="1">
        <f>(4*20)</f>
        <v>80</v>
      </c>
      <c r="M11" s="1">
        <v>5000</v>
      </c>
      <c r="N11" s="4">
        <f t="shared" si="0"/>
        <v>4.125</v>
      </c>
      <c r="O11" s="4">
        <f t="shared" ref="O11:O12" si="20">(G11/2)-(H11/2)</f>
        <v>3.9499999999999997</v>
      </c>
      <c r="P11" s="4">
        <f t="shared" ref="P11:P12" si="21">F11/100</f>
        <v>0.77500000000000002</v>
      </c>
      <c r="Q11" s="4">
        <f t="shared" si="1"/>
        <v>3.125E-2</v>
      </c>
      <c r="R11" s="4">
        <f t="shared" ref="R11:R12" si="22">E11</f>
        <v>25</v>
      </c>
      <c r="S11" s="4">
        <f t="shared" ref="S11:S12" si="23">ATAN(P11/(2*Q11))</f>
        <v>1.4903253155294358</v>
      </c>
      <c r="T11" s="4">
        <f t="shared" ref="T11:T12" si="24">(R11/(2*P11*Q11*PI()^2))*((2*S11)+SIN(2*S11))</f>
        <v>164.25268633765339</v>
      </c>
      <c r="U11" s="4">
        <f t="shared" ref="U11:U12" si="25">T11*100</f>
        <v>16425.268633765339</v>
      </c>
      <c r="V11" s="5">
        <f t="shared" ref="V11:V12" si="26">U11*N11</f>
        <v>67754.233114282019</v>
      </c>
      <c r="W11" s="17">
        <f t="shared" si="5"/>
        <v>54203.386491425619</v>
      </c>
      <c r="X11" s="5">
        <f t="shared" si="6"/>
        <v>0.96</v>
      </c>
    </row>
    <row r="12" spans="1:24" ht="24.75" customHeight="1" x14ac:dyDescent="0.3">
      <c r="A12" s="30" t="s">
        <v>48</v>
      </c>
      <c r="B12" s="19" t="s">
        <v>44</v>
      </c>
      <c r="C12" s="28" t="s">
        <v>45</v>
      </c>
      <c r="D12" s="18" t="s">
        <v>46</v>
      </c>
      <c r="E12" s="1">
        <v>25</v>
      </c>
      <c r="F12" s="1">
        <v>77.5</v>
      </c>
      <c r="G12" s="1">
        <v>10.199999999999999</v>
      </c>
      <c r="H12" s="1">
        <v>2.2999999999999998</v>
      </c>
      <c r="I12" s="1">
        <v>5.5</v>
      </c>
      <c r="J12" s="1">
        <v>1</v>
      </c>
      <c r="K12" s="36">
        <f t="shared" ref="K12:K13" si="27">I12*J12</f>
        <v>5.5</v>
      </c>
      <c r="L12" s="1">
        <f>(4*17)+(10*5)</f>
        <v>118</v>
      </c>
      <c r="M12" s="1">
        <v>5000</v>
      </c>
      <c r="N12" s="4">
        <f t="shared" si="0"/>
        <v>2.7966101694915255</v>
      </c>
      <c r="O12" s="4">
        <f t="shared" si="20"/>
        <v>3.9499999999999997</v>
      </c>
      <c r="P12" s="4">
        <f t="shared" si="21"/>
        <v>0.77500000000000002</v>
      </c>
      <c r="Q12" s="4">
        <f t="shared" si="1"/>
        <v>3.125E-2</v>
      </c>
      <c r="R12" s="4">
        <f t="shared" si="22"/>
        <v>25</v>
      </c>
      <c r="S12" s="4">
        <f t="shared" si="23"/>
        <v>1.4903253155294358</v>
      </c>
      <c r="T12" s="4">
        <f t="shared" si="24"/>
        <v>164.25268633765339</v>
      </c>
      <c r="U12" s="4">
        <f t="shared" si="25"/>
        <v>16425.268633765339</v>
      </c>
      <c r="V12" s="5">
        <f t="shared" si="26"/>
        <v>45935.073297818322</v>
      </c>
      <c r="W12" s="17">
        <f t="shared" si="5"/>
        <v>36748.058638254661</v>
      </c>
      <c r="X12" s="5">
        <f t="shared" si="6"/>
        <v>1.4159999999999999</v>
      </c>
    </row>
    <row r="13" spans="1:24" ht="24.75" customHeight="1" x14ac:dyDescent="0.3">
      <c r="A13" s="30" t="s">
        <v>49</v>
      </c>
      <c r="B13" s="19" t="s">
        <v>44</v>
      </c>
      <c r="C13" s="28" t="s">
        <v>50</v>
      </c>
      <c r="D13" s="18" t="s">
        <v>46</v>
      </c>
      <c r="E13" s="1">
        <v>15</v>
      </c>
      <c r="F13" s="1">
        <v>77.5</v>
      </c>
      <c r="G13" s="1">
        <v>10.199999999999999</v>
      </c>
      <c r="H13" s="1">
        <v>2.2999999999999998</v>
      </c>
      <c r="I13" s="1">
        <v>5.5</v>
      </c>
      <c r="J13" s="1">
        <v>1</v>
      </c>
      <c r="K13" s="36">
        <f t="shared" si="27"/>
        <v>5.5</v>
      </c>
      <c r="L13" s="1">
        <f>(2*20)+(24*2)</f>
        <v>88</v>
      </c>
      <c r="M13" s="1">
        <v>5000</v>
      </c>
      <c r="N13" s="4">
        <f t="shared" si="0"/>
        <v>3.7500000000000004</v>
      </c>
      <c r="O13" s="4">
        <f t="shared" ref="O13:O15" si="28">(G13/2)-(H13/2)</f>
        <v>3.9499999999999997</v>
      </c>
      <c r="P13" s="4">
        <f t="shared" ref="P13:P15" si="29">F13/100</f>
        <v>0.77500000000000002</v>
      </c>
      <c r="Q13" s="4">
        <f t="shared" si="1"/>
        <v>3.125E-2</v>
      </c>
      <c r="R13" s="4">
        <f t="shared" ref="R13:R15" si="30">E13</f>
        <v>15</v>
      </c>
      <c r="S13" s="4">
        <f t="shared" ref="S13:S15" si="31">ATAN(P13/(2*Q13))</f>
        <v>1.4903253155294358</v>
      </c>
      <c r="T13" s="4">
        <f t="shared" ref="T13:T15" si="32">(R13/(2*P13*Q13*PI()^2))*((2*S13)+SIN(2*S13))</f>
        <v>98.551611802592035</v>
      </c>
      <c r="U13" s="4">
        <f t="shared" ref="U13:U15" si="33">T13*100</f>
        <v>9855.1611802592033</v>
      </c>
      <c r="V13" s="5">
        <f t="shared" ref="V13:V15" si="34">U13*N13</f>
        <v>36956.854425972015</v>
      </c>
      <c r="W13" s="17">
        <f t="shared" si="5"/>
        <v>29565.483540777612</v>
      </c>
      <c r="X13" s="5">
        <f t="shared" si="6"/>
        <v>1.056</v>
      </c>
    </row>
    <row r="14" spans="1:24" ht="24.75" customHeight="1" x14ac:dyDescent="0.3">
      <c r="A14" s="30" t="s">
        <v>51</v>
      </c>
      <c r="B14" s="19" t="s">
        <v>44</v>
      </c>
      <c r="C14" s="28" t="s">
        <v>50</v>
      </c>
      <c r="D14" s="18" t="s">
        <v>46</v>
      </c>
      <c r="E14" s="1">
        <v>15</v>
      </c>
      <c r="F14" s="1">
        <v>77.5</v>
      </c>
      <c r="G14" s="1">
        <v>10.199999999999999</v>
      </c>
      <c r="H14" s="1">
        <v>2.2999999999999998</v>
      </c>
      <c r="I14" s="1">
        <v>5.5</v>
      </c>
      <c r="J14" s="1">
        <v>1</v>
      </c>
      <c r="K14" s="36">
        <f t="shared" ref="K14:K15" si="35">I14*J14</f>
        <v>5.5</v>
      </c>
      <c r="L14" s="1">
        <f>12*8.3</f>
        <v>99.600000000000009</v>
      </c>
      <c r="M14" s="1">
        <v>5000</v>
      </c>
      <c r="N14" s="4">
        <f t="shared" si="0"/>
        <v>3.3132530120481927</v>
      </c>
      <c r="O14" s="4">
        <f t="shared" si="28"/>
        <v>3.9499999999999997</v>
      </c>
      <c r="P14" s="4">
        <f t="shared" si="29"/>
        <v>0.77500000000000002</v>
      </c>
      <c r="Q14" s="4">
        <f t="shared" si="1"/>
        <v>3.125E-2</v>
      </c>
      <c r="R14" s="4">
        <f t="shared" si="30"/>
        <v>15</v>
      </c>
      <c r="S14" s="4">
        <f t="shared" si="31"/>
        <v>1.4903253155294358</v>
      </c>
      <c r="T14" s="4">
        <f t="shared" si="32"/>
        <v>98.551611802592035</v>
      </c>
      <c r="U14" s="4">
        <f t="shared" si="33"/>
        <v>9855.1611802592033</v>
      </c>
      <c r="V14" s="5">
        <f t="shared" si="34"/>
        <v>32652.642464714227</v>
      </c>
      <c r="W14" s="17">
        <f t="shared" si="5"/>
        <v>26122.113971771381</v>
      </c>
      <c r="X14" s="5">
        <f t="shared" si="6"/>
        <v>1.1952000000000003</v>
      </c>
    </row>
    <row r="15" spans="1:24" ht="24.75" customHeight="1" x14ac:dyDescent="0.3">
      <c r="A15" s="30" t="s">
        <v>52</v>
      </c>
      <c r="B15" s="19" t="s">
        <v>44</v>
      </c>
      <c r="C15" s="28" t="s">
        <v>50</v>
      </c>
      <c r="D15" s="18" t="s">
        <v>46</v>
      </c>
      <c r="E15" s="1">
        <v>15</v>
      </c>
      <c r="F15" s="1">
        <v>77.5</v>
      </c>
      <c r="G15" s="1">
        <v>10.199999999999999</v>
      </c>
      <c r="H15" s="1">
        <v>2.2999999999999998</v>
      </c>
      <c r="I15" s="1">
        <v>5.5</v>
      </c>
      <c r="J15" s="1">
        <v>1</v>
      </c>
      <c r="K15" s="36">
        <f t="shared" si="35"/>
        <v>5.5</v>
      </c>
      <c r="L15" s="1">
        <f>12*8.3</f>
        <v>99.600000000000009</v>
      </c>
      <c r="M15" s="1">
        <v>5000</v>
      </c>
      <c r="N15" s="4">
        <f t="shared" si="0"/>
        <v>3.3132530120481927</v>
      </c>
      <c r="O15" s="4">
        <f t="shared" si="28"/>
        <v>3.9499999999999997</v>
      </c>
      <c r="P15" s="4">
        <f t="shared" si="29"/>
        <v>0.77500000000000002</v>
      </c>
      <c r="Q15" s="4">
        <f t="shared" si="1"/>
        <v>3.125E-2</v>
      </c>
      <c r="R15" s="4">
        <f t="shared" si="30"/>
        <v>15</v>
      </c>
      <c r="S15" s="4">
        <f t="shared" si="31"/>
        <v>1.4903253155294358</v>
      </c>
      <c r="T15" s="4">
        <f t="shared" si="32"/>
        <v>98.551611802592035</v>
      </c>
      <c r="U15" s="4">
        <f t="shared" si="33"/>
        <v>9855.1611802592033</v>
      </c>
      <c r="V15" s="5">
        <f t="shared" si="34"/>
        <v>32652.642464714227</v>
      </c>
      <c r="W15" s="17">
        <f t="shared" si="5"/>
        <v>26122.113971771381</v>
      </c>
      <c r="X15" s="5">
        <f t="shared" si="6"/>
        <v>1.1952000000000003</v>
      </c>
    </row>
  </sheetData>
  <mergeCells count="7">
    <mergeCell ref="A1:X1"/>
    <mergeCell ref="A6:A9"/>
    <mergeCell ref="A3:B3"/>
    <mergeCell ref="N2:U2"/>
    <mergeCell ref="V2:X2"/>
    <mergeCell ref="E2:M2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Swansea University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Maddocks J.K.</dc:creator>
  <cp:keywords/>
  <dc:description/>
  <cp:lastModifiedBy>user</cp:lastModifiedBy>
  <cp:revision/>
  <dcterms:created xsi:type="dcterms:W3CDTF">2023-03-29T11:27:08Z</dcterms:created>
  <dcterms:modified xsi:type="dcterms:W3CDTF">2023-04-02T23:13:24Z</dcterms:modified>
  <cp:category/>
  <cp:contentStatus/>
</cp:coreProperties>
</file>